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user01\Desktop\"/>
    </mc:Choice>
  </mc:AlternateContent>
  <xr:revisionPtr revIDLastSave="0" documentId="13_ncr:1_{0076B1B5-795B-4F68-A452-D94AAC2B3F5D}" xr6:coauthVersionLast="47" xr6:coauthVersionMax="47" xr10:uidLastSave="{00000000-0000-0000-0000-000000000000}"/>
  <bookViews>
    <workbookView xWindow="-120" yWindow="-120" windowWidth="20730" windowHeight="11040" tabRatio="823" firstSheet="15" activeTab="15" xr2:uid="{00000000-000D-0000-FFFF-FFFF00000000}"/>
  </bookViews>
  <sheets>
    <sheet name="dSHEET" sheetId="1" state="veryHidden" r:id="rId1"/>
    <sheet name="dSTART" sheetId="2" state="veryHidden" r:id="rId2"/>
    <sheet name="DATA" sheetId="3" state="veryHidden" r:id="rId3"/>
    <sheet name="DATA_性能評価" sheetId="124" state="veryHidden" r:id="rId4"/>
    <sheet name="cst_DATA" sheetId="4" state="veryHidden" r:id="rId5"/>
    <sheet name="dAName" sheetId="96" state="veryHidden" r:id="rId6"/>
    <sheet name="項目リスト" sheetId="5" state="veryHidden" r:id="rId7"/>
    <sheet name="用途の区分" sheetId="6" state="veryHidden" r:id="rId8"/>
    <sheet name="リスト" sheetId="7" state="veryHidden" r:id="rId9"/>
    <sheet name="建築工事届" sheetId="111" state="veryHidden" r:id="rId10"/>
    <sheet name="建築工事届_2410" sheetId="126" state="veryHidden" r:id="rId11"/>
    <sheet name="建築主住所等変更届" sheetId="112" state="veryHidden" r:id="rId12"/>
    <sheet name="工事監理者報告書" sheetId="117" state="veryHidden" r:id="rId13"/>
    <sheet name="工事施工者報告書" sheetId="118" state="veryHidden" r:id="rId14"/>
    <sheet name="浄化槽変更届" sheetId="120" state="veryHidden" r:id="rId15"/>
    <sheet name="宣言書" sheetId="127" r:id="rId16"/>
    <sheet name="検査申請書_第四面" sheetId="115" state="veryHidden" r:id="rId17"/>
    <sheet name="建築概要一面" sheetId="73" state="veryHidden" r:id="rId18"/>
    <sheet name="概要二面" sheetId="74" state="veryHidden" r:id="rId19"/>
    <sheet name="概要三面" sheetId="75" state="veryHidden" r:id="rId20"/>
    <sheet name="委任状" sheetId="122" state="veryHidden" r:id="rId21"/>
    <sheet name="委任状_性能評価" sheetId="123" state="veryHidden" r:id="rId22"/>
  </sheets>
  <definedNames>
    <definedName name="__IntlFixup">TRUE</definedName>
    <definedName name="__IntlFixupTable" localSheetId="10" hidden="1">#REF!</definedName>
    <definedName name="__IntlFixupTable" hidden="1">#REF!</definedName>
    <definedName name="_１級">リスト!$A$3</definedName>
    <definedName name="_xlnm._FilterDatabase" localSheetId="10" hidden="1">建築工事届_2410!$A$65:$N$66</definedName>
    <definedName name="_IntlFixup2Table" localSheetId="10" hidden="1">#REF!</definedName>
    <definedName name="_IntlFixup2Table" hidden="1">#REF!</definedName>
    <definedName name="_Order1" hidden="1">255</definedName>
    <definedName name="_output_sheetname">DATA!$D$9</definedName>
    <definedName name="_output_title">DATA!$D$7</definedName>
    <definedName name="AAA_01" localSheetId="10" hidden="1">#REF!</definedName>
    <definedName name="AAA_01" hidden="1">#REF!</definedName>
    <definedName name="aaaaa" localSheetId="10" hidden="1">#REF!</definedName>
    <definedName name="aaaaa" hidden="1">#REF!</definedName>
    <definedName name="AAAAA2" localSheetId="10" hidden="1">#REF!</definedName>
    <definedName name="AAAAA2" hidden="1">#REF!</definedName>
    <definedName name="AAAAA3" hidden="1">#REF!</definedName>
    <definedName name="AAAAA4" hidden="1">#REF!</definedName>
    <definedName name="AAAAA5" hidden="1">#REF!</definedName>
    <definedName name="AAAAA6" hidden="1">#REF!</definedName>
    <definedName name="AAAAA7" hidden="1">#REF!</definedName>
    <definedName name="AAAAA8" hidden="1">#REF!</definedName>
    <definedName name="AAAAA9" hidden="1">#REF!</definedName>
    <definedName name="AAAAB" hidden="1">#REF!</definedName>
    <definedName name="BBBBB1" hidden="1">#REF!</definedName>
    <definedName name="BBBBB2" hidden="1">#REF!</definedName>
    <definedName name="chk_INTER_state_in_final">DATA!$F$28</definedName>
    <definedName name="chk_INTER1_state_in_conf">DATA!$F$25</definedName>
    <definedName name="chk_INTER2_state_in_conf">DATA!$F$26</definedName>
    <definedName name="chk_INTER3_state_in_conf">DATA!$F$27</definedName>
    <definedName name="chk_JOB_KIND_kakunin">DATA!$F$24</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cst__output_sheetname">DATA!$F$9</definedName>
    <definedName name="cst__output_title">DATA!$F$7</definedName>
    <definedName name="cst_ISSUE_DATE_select">DATA!$F$30</definedName>
    <definedName name="cst_ISSUE_KOUFU_NAME_select">DATA!$F$65</definedName>
    <definedName name="cst_ISSUE_NO_select">DATA!$F$29</definedName>
    <definedName name="cst_koujikikan_month">DATA!$F$1159</definedName>
    <definedName name="cst_koujikikan_year">DATA!$F$1158</definedName>
    <definedName name="cst_lastalter_shinsei_build_YOUTO">DATA!$F$1345</definedName>
    <definedName name="cst_Pre_Corp__TODAY">dAName!$F$18</definedName>
    <definedName name="cst_Pre_Corp2__TODAY">dAName!$H$18</definedName>
    <definedName name="cst_Pre_Corptype__TODAY">dAName!$E$18</definedName>
    <definedName name="cst_Pre_Daihyou__TODAY">dAName!$G$18</definedName>
    <definedName name="cst_shinsei_build_p6_01_PAGE6_KOUZOU_KEISAN_KIND__002">DATA!$F$50</definedName>
    <definedName name="cst_shinsei_build_p6_01_PAGE6_KOUZOU_KEISAN_KIND__004">DATA!$F$49</definedName>
    <definedName name="cst_shinsei_build_p6_01_PAGE6_KOUZOU_KEISAN_KIND__005">DATA!$F$48</definedName>
    <definedName name="cst_shinsei_build_YOUTO">DATA!$F$1344</definedName>
    <definedName name="cst_shinsei_HIKIUKE_DATE">DATA!$F$38</definedName>
    <definedName name="cst_shinsei_ISSUE_DATE">DATA!$F$43</definedName>
    <definedName name="cst_shinsei_ISSUE_KOUFU_NAME">DATA!$F$45</definedName>
    <definedName name="cst_shinsei_ISSUE_NO">DATA!$F$40</definedName>
    <definedName name="cst_shinsei_KAKU_SUMI_NO">DATA!$F$41</definedName>
    <definedName name="cst_shinsei_KAKUNIN_ISSUE_NO">DATA!$F$63</definedName>
    <definedName name="cst_shinsei_KAKUNIN_KOUFU_DATE">DATA!$F$66</definedName>
    <definedName name="cst_shinsei_PROVO_DATE">DATA!$F$32</definedName>
    <definedName name="cst_shinsei_PROVO_NO">DATA!$F$33</definedName>
    <definedName name="cst_shinsei_UKETUKE_NO">DATA!$F$36</definedName>
    <definedName name="cst_shinsei_UNIT_COUNT">DATA!$F$970</definedName>
    <definedName name="cst_wshyouka_BUILD__address">DATA_性能評価!$F$58</definedName>
    <definedName name="cst_wshyouka_BUILD_NAME">DATA_性能評価!$F$55</definedName>
    <definedName name="cst_wshyouka_dairi1__address">DATA_性能評価!$F$50</definedName>
    <definedName name="cst_wshyouka_dairi1_JIMU_NAME">DATA_性能評価!$F$45</definedName>
    <definedName name="cst_wshyouka_dairi1_JIMU_NAME_KANA">DATA_性能評価!$F$46</definedName>
    <definedName name="cst_wshyouka_dairi1_NAME">DATA_性能評価!$F$43</definedName>
    <definedName name="cst_wshyouka_dairi1_NAME_KANA">DATA_性能評価!$F$44</definedName>
    <definedName name="cst_wshyouka_dairi1_POST">DATA_性能評価!$F$47</definedName>
    <definedName name="cst_wshyouka_dairi1_POST_KANA">DATA_性能評価!$F$48</definedName>
    <definedName name="cst_wshyouka_dairi1_TEL">DATA_性能評価!$F$51</definedName>
    <definedName name="cst_wshyouka_dairi1_ZIP">DATA_性能評価!$F$49</definedName>
    <definedName name="cst_wshyouka_owner1__address">DATA_性能評価!$F$23</definedName>
    <definedName name="cst_wshyouka_owner1__space_KANA">DATA_性能評価!$F$19</definedName>
    <definedName name="cst_wshyouka_owner1__space2">DATA_性能評価!$F$20</definedName>
    <definedName name="cst_wshyouka_owner1__space3">DATA_性能評価!$F$21</definedName>
    <definedName name="cst_wshyouka_owner1_JIMU_NAME">DATA_性能評価!$F$15</definedName>
    <definedName name="cst_wshyouka_owner1_JIMU_NAME_KANA">DATA_性能評価!$F$16</definedName>
    <definedName name="cst_wshyouka_owner1_NAME">DATA_性能評価!$F$13</definedName>
    <definedName name="cst_wshyouka_owner1_NAME_KANA">DATA_性能評価!$F$14</definedName>
    <definedName name="cst_wshyouka_owner1_POST">DATA_性能評価!$F$17</definedName>
    <definedName name="cst_wshyouka_owner1_POST_KANA">DATA_性能評価!$F$18</definedName>
    <definedName name="cst_wshyouka_owner1_TEL">DATA_性能評価!$F$24</definedName>
    <definedName name="cst_wshyouka_owner1_ZIP">DATA_性能評価!$F$22</definedName>
    <definedName name="cst_wshyouka_owner2__address">DATA_性能評価!$F$38</definedName>
    <definedName name="cst_wshyouka_owner2__space_KANA">DATA_性能評価!$F$34</definedName>
    <definedName name="cst_wshyouka_owner2__space2">DATA_性能評価!$F$35</definedName>
    <definedName name="cst_wshyouka_owner2__space3">DATA_性能評価!$F$36</definedName>
    <definedName name="cst_wshyouka_owner2_JIMU_NAME">DATA_性能評価!$F$30</definedName>
    <definedName name="cst_wshyouka_owner2_JIMU_NAME_KANA">DATA_性能評価!$F$31</definedName>
    <definedName name="cst_wshyouka_owner2_NAME">DATA_性能評価!$F$28</definedName>
    <definedName name="cst_wshyouka_owner2_NAME_KANA">DATA_性能評価!$F$29</definedName>
    <definedName name="cst_wshyouka_owner2_POST">DATA_性能評価!$F$32</definedName>
    <definedName name="cst_wshyouka_owner2_POST_KANA">DATA_性能評価!$F$33</definedName>
    <definedName name="cst_wshyouka_owner2_TEL">DATA_性能評価!$F$39</definedName>
    <definedName name="cst_wshyouka_owner2_ZIP">DATA_性能評価!$F$37</definedName>
    <definedName name="cst_wshyouka_SHINSEI_DATE">DATA_性能評価!$F$10</definedName>
    <definedName name="cst_wsjob_JOB_KIND">DATA!$F$17</definedName>
    <definedName name="cst_wsjob_JOB_KIND_final_box">DATA!$F$20</definedName>
    <definedName name="cst_wsjob_JOB_KIND_inter_box">DATA!$F$19</definedName>
    <definedName name="cst_wsjob_JOB_KIND_kakunin_box">DATA!$F$18</definedName>
    <definedName name="cst_wsjob_JOB_SET_KIND">DATA!$F$12</definedName>
    <definedName name="cst_wsjob_KENTIKUBUTU_box">DATA!$F$14</definedName>
    <definedName name="cst_wsjob_KOUSAKUBUTU_box">DATA!$F$16</definedName>
    <definedName name="cst_wsjob_SYOUKOUKI_box">DATA!$F$15</definedName>
    <definedName name="cst_wsjob_TARGET_KIND">DATA!$F$13</definedName>
    <definedName name="cst_wsjob_TARGET_KIND__label">DATA!$F$11</definedName>
    <definedName name="cst_wskakunin__bouka">DATA!$F$924</definedName>
    <definedName name="cst_wskakunin__kouji">DATA!$F$972</definedName>
    <definedName name="cst_wskakunin__kuiki">DATA!$F$915</definedName>
    <definedName name="cst_wskakunin__kuiki_box">DATA!$F$916</definedName>
    <definedName name="cst_wskakunin__tosi_kuiki">DATA!$F$918</definedName>
    <definedName name="cst_wskakunin_20kouzou101_KOUZOUSEKKEI_KOUFU_NO">DATA!$F$493</definedName>
    <definedName name="cst_wskakunin_20kouzou101_NAME">DATA!$F$492</definedName>
    <definedName name="cst_wskakunin_20kouzou102_KOUZOUSEKKEI_KOUFU_NO">DATA!$F$495</definedName>
    <definedName name="cst_wskakunin_20kouzou102_NAME">DATA!$F$494</definedName>
    <definedName name="cst_wskakunin_20kouzou103_KOUZOUSEKKEI_KOUFU_NO">DATA!$F$497</definedName>
    <definedName name="cst_wskakunin_20kouzou103_NAME">DATA!$F$496</definedName>
    <definedName name="cst_wskakunin_20kouzou104_KOUZOUSEKKEI_KOUFU_NO">DATA!$F$499</definedName>
    <definedName name="cst_wskakunin_20kouzou104_NAME">DATA!$F$498</definedName>
    <definedName name="cst_wskakunin_20kouzou105_KOUZOUSEKKEI_KOUFU_NO">DATA!$F$501</definedName>
    <definedName name="cst_wskakunin_20kouzou105_NAME">DATA!$F$500</definedName>
    <definedName name="cst_wskakunin_20kouzou301_KOUZOUSEKKEI_KOUFU_NO">DATA!$F$505</definedName>
    <definedName name="cst_wskakunin_20kouzou301_NAME">DATA!$F$504</definedName>
    <definedName name="cst_wskakunin_20kouzou302_KOUZOUSEKKEI_KOUFU_NO">DATA!$F$507</definedName>
    <definedName name="cst_wskakunin_20kouzou302_NAME">DATA!$F$506</definedName>
    <definedName name="cst_wskakunin_20kouzou303_KOUZOUSEKKEI_KOUFU_NO">DATA!$F$509</definedName>
    <definedName name="cst_wskakunin_20kouzou303_NAME">DATA!$F$508</definedName>
    <definedName name="cst_wskakunin_20kouzou304_KOUZOUSEKKEI_KOUFU_NO">DATA!$F$511</definedName>
    <definedName name="cst_wskakunin_20kouzou304_NAME">DATA!$F$510</definedName>
    <definedName name="cst_wskakunin_20kouzou305_KOUZOUSEKKEI_KOUFU_NO">DATA!$F$513</definedName>
    <definedName name="cst_wskakunin_20kouzou305_NAME">DATA!$F$512</definedName>
    <definedName name="cst_wskakunin_20setubi101_NAME">DATA!$F$516</definedName>
    <definedName name="cst_wskakunin_20setubi101_SETUBISEKKEI_KOUFU_NO">DATA!$F$517</definedName>
    <definedName name="cst_wskakunin_20setubi102_NAME">DATA!$F$518</definedName>
    <definedName name="cst_wskakunin_20setubi102_SETUBISEKKEI_KOUFU_NO">DATA!$F$519</definedName>
    <definedName name="cst_wskakunin_20setubi103_NAME">DATA!$F$520</definedName>
    <definedName name="cst_wskakunin_20setubi103_SETUBISEKKEI_KOUFU_NO">DATA!$F$521</definedName>
    <definedName name="cst_wskakunin_20setubi104_NAME">DATA!$F$522</definedName>
    <definedName name="cst_wskakunin_20setubi104_SETUBISEKKEI_KOUFU_NO">DATA!$F$523</definedName>
    <definedName name="cst_wskakunin_20setubi105_NAME">DATA!$F$524</definedName>
    <definedName name="cst_wskakunin_20setubi105_SETUBISEKKEI_KOUFU_NO">DATA!$F$525</definedName>
    <definedName name="cst_wskakunin_20setubi301_NAME">DATA!$F$528</definedName>
    <definedName name="cst_wskakunin_20setubi301_SETUBISEKKEI_KOUFU_NO">DATA!$F$529</definedName>
    <definedName name="cst_wskakunin_20setubi302_NAME">DATA!$F$530</definedName>
    <definedName name="cst_wskakunin_20setubi302_SETUBISEKKEI_KOUFU_NO">DATA!$F$531</definedName>
    <definedName name="cst_wskakunin_20setubi303_NAME">DATA!$F$532</definedName>
    <definedName name="cst_wskakunin_20setubi303_SETUBISEKKEI_KOUFU_NO">DATA!$F$533</definedName>
    <definedName name="cst_wskakunin_20setubi304_NAME">DATA!$F$534</definedName>
    <definedName name="cst_wskakunin_20setubi304_SETUBISEKKEI_KOUFU_NO">DATA!$F$535</definedName>
    <definedName name="cst_wskakunin_20setubi305_NAME">DATA!$F$536</definedName>
    <definedName name="cst_wskakunin_20setubi305_SETUBISEKKEI_KOUFU_NO">DATA!$F$537</definedName>
    <definedName name="cst_wskakunin_APPLICANT_NAME">DATA!$F$71</definedName>
    <definedName name="cst_wskakunin_BOUKA_22JYO">DATA!$F$928</definedName>
    <definedName name="cst_wskakunin_BOUKA_BOUKA">DATA!$F$925</definedName>
    <definedName name="cst_wskakunin_BOUKA_JYUN_BOUKA">DATA!$F$926</definedName>
    <definedName name="cst_wskakunin_BOUKA_NASI">DATA!$F$927</definedName>
    <definedName name="cst_wskakunin_BOUKA_SETUBI_FLAG">DATA!$F$1186</definedName>
    <definedName name="cst_wskakunin_BOUKA_SETUBI_FLAG_box_off">DATA!$F$1188</definedName>
    <definedName name="cst_wskakunin_BOUKA_SETUBI_FLAG_box_on">DATA!$F$1187</definedName>
    <definedName name="cst_wskakunin_BUILD__address">DATA!$F$904</definedName>
    <definedName name="cst_wskakunin_BUILD_ADDRESS">DATA!$F$906</definedName>
    <definedName name="cst_wskakunin_BUILD_JYUKYO__address">DATA!$F$909</definedName>
    <definedName name="cst_wskakunin_BUILD_JYUKYO_ADDRESS">DATA!$F$911</definedName>
    <definedName name="cst_wskakunin_BUILD_JYUKYO_KEN__ken">DATA!$F$910</definedName>
    <definedName name="cst_wskakunin_BUILD_KEN__ken">DATA!$F$905</definedName>
    <definedName name="cst_wskakunin_BUILD_NAME">DATA!$F$841</definedName>
    <definedName name="cst_wskakunin_BUILD_NAME_KANA">DATA!$F$842</definedName>
    <definedName name="cst_wskakunin_BUILD_SHINSEI_COUNT">DATA!$F$1098</definedName>
    <definedName name="cst_wskakunin_BUILD_SONOTA_COUNT">DATA!$F$1099</definedName>
    <definedName name="cst_wskakunin_dairi1__address">DATA!$F$207</definedName>
    <definedName name="cst_wskakunin_dairi1__sikaku">DATA!$F$195</definedName>
    <definedName name="cst_wskakunin_dairi1__sikaku_JIMU_NAME">DATA!$F$211</definedName>
    <definedName name="cst_wskakunin_dairi1__sikaku_NAME">DATA!$F$212</definedName>
    <definedName name="cst_wskakunin_dairi1__space">DATA!$F$210</definedName>
    <definedName name="cst_wskakunin_dairi1_FAX">DATA!$F$209</definedName>
    <definedName name="cst_wskakunin_dairi1_JIMU__sikaku">DATA!$F$201</definedName>
    <definedName name="cst_wskakunin_dairi1_JIMU_NAME">DATA!$F$205</definedName>
    <definedName name="cst_wskakunin_dairi1_JIMU_NO">DATA!$F$204</definedName>
    <definedName name="cst_wskakunin_dairi1_JIMU_SIKAKU">DATA!$F$202</definedName>
    <definedName name="cst_wskakunin_dairi1_JIMU_TOUROKU_KIKAN">DATA!$F$203</definedName>
    <definedName name="cst_wskakunin_dairi1_KENTIKUSI_NO">DATA!$F$198</definedName>
    <definedName name="cst_wskakunin_dairi1_NAME">DATA!$F$199</definedName>
    <definedName name="cst_wskakunin_dairi1_NAME_KANA">DATA!$F$200</definedName>
    <definedName name="cst_wskakunin_dairi1_SIKAKU">DATA!$F$196</definedName>
    <definedName name="cst_wskakunin_dairi1_TEL">DATA!$F$208</definedName>
    <definedName name="cst_wskakunin_dairi1_TOUROKU_KIKAN">DATA!$F$197</definedName>
    <definedName name="cst_wskakunin_dairi1_ZIP">DATA!$F$206</definedName>
    <definedName name="cst_wskakunin_dairi2__address">DATA!$F$227</definedName>
    <definedName name="cst_wskakunin_dairi2__sikaku">DATA!$F$215</definedName>
    <definedName name="cst_wskakunin_dairi2__space">DATA!$F$230</definedName>
    <definedName name="cst_wskakunin_dairi2_FAX">DATA!$F$229</definedName>
    <definedName name="cst_wskakunin_dairi2_JIMU__sikaku">DATA!$F$221</definedName>
    <definedName name="cst_wskakunin_dairi2_JIMU_NAME">DATA!$F$225</definedName>
    <definedName name="cst_wskakunin_dairi2_JIMU_NO">DATA!$F$224</definedName>
    <definedName name="cst_wskakunin_dairi2_JIMU_SIKAKU">DATA!$F$222</definedName>
    <definedName name="cst_wskakunin_dairi2_JIMU_TOUROKU_KIKAN">DATA!$F$223</definedName>
    <definedName name="cst_wskakunin_dairi2_KENTIKUSI_NO">DATA!$F$218</definedName>
    <definedName name="cst_wskakunin_dairi2_NAME">DATA!$F$219</definedName>
    <definedName name="cst_wskakunin_dairi2_NAME_KANA">DATA!$F$220</definedName>
    <definedName name="cst_wskakunin_dairi2_SIKAKU">DATA!$F$216</definedName>
    <definedName name="cst_wskakunin_dairi2_TEL">DATA!$F$228</definedName>
    <definedName name="cst_wskakunin_dairi2_TOUROKU_KIKAN">DATA!$F$217</definedName>
    <definedName name="cst_wskakunin_dairi2_ZIP">DATA!$F$226</definedName>
    <definedName name="cst_wskakunin_dairi3__address">DATA!$F$245</definedName>
    <definedName name="cst_wskakunin_dairi3__sikaku">DATA!$F$233</definedName>
    <definedName name="cst_wskakunin_dairi3__space">DATA!$F$248</definedName>
    <definedName name="cst_wskakunin_dairi3_FAX">DATA!$F$247</definedName>
    <definedName name="cst_wskakunin_dairi3_JIMU__sikaku">DATA!$F$239</definedName>
    <definedName name="cst_wskakunin_dairi3_JIMU_NAME">DATA!$F$243</definedName>
    <definedName name="cst_wskakunin_dairi3_JIMU_NO">DATA!$F$242</definedName>
    <definedName name="cst_wskakunin_dairi3_JIMU_SIKAKU">DATA!$F$240</definedName>
    <definedName name="cst_wskakunin_dairi3_JIMU_TOUROKU_KIKAN">DATA!$F$241</definedName>
    <definedName name="cst_wskakunin_dairi3_KENTIKUSI_NO">DATA!$F$236</definedName>
    <definedName name="cst_wskakunin_dairi3_NAME">DATA!$F$237</definedName>
    <definedName name="cst_wskakunin_dairi3_NAME_KANA">DATA!$F$238</definedName>
    <definedName name="cst_wskakunin_dairi3_SIKAKU">DATA!$F$234</definedName>
    <definedName name="cst_wskakunin_dairi3_TEL">DATA!$F$246</definedName>
    <definedName name="cst_wskakunin_dairi3_TOUROKU_KIKAN">DATA!$F$235</definedName>
    <definedName name="cst_wskakunin_dairi3_ZIP">DATA!$F$244</definedName>
    <definedName name="cst_wskakunin_dairi4__address">DATA!$F$263</definedName>
    <definedName name="cst_wskakunin_dairi4__sikaku">DATA!$F$251</definedName>
    <definedName name="cst_wskakunin_dairi4__space">DATA!$F$266</definedName>
    <definedName name="cst_wskakunin_dairi4_FAX">DATA!$F$265</definedName>
    <definedName name="cst_wskakunin_dairi4_JIMU__sikaku">DATA!$F$257</definedName>
    <definedName name="cst_wskakunin_dairi4_JIMU_NAME">DATA!$F$261</definedName>
    <definedName name="cst_wskakunin_dairi4_JIMU_NO">DATA!$F$260</definedName>
    <definedName name="cst_wskakunin_dairi4_JIMU_SIKAKU">DATA!$F$258</definedName>
    <definedName name="cst_wskakunin_dairi4_JIMU_TOUROKU_KIKAN">DATA!$F$259</definedName>
    <definedName name="cst_wskakunin_dairi4_KENTIKUSI_NO">DATA!$F$254</definedName>
    <definedName name="cst_wskakunin_dairi4_NAME">DATA!$F$255</definedName>
    <definedName name="cst_wskakunin_dairi4_NAME_KANA">DATA!$F$256</definedName>
    <definedName name="cst_wskakunin_dairi4_SIKAKU">DATA!$F$252</definedName>
    <definedName name="cst_wskakunin_dairi4_TEL">DATA!$F$264</definedName>
    <definedName name="cst_wskakunin_dairi4_TOUROKU_KIKAN">DATA!$F$253</definedName>
    <definedName name="cst_wskakunin_dairi4_ZIP">DATA!$F$262</definedName>
    <definedName name="cst_wskakunin_dairi5__address">DATA!$F$281</definedName>
    <definedName name="cst_wskakunin_dairi5__sikaku">DATA!$F$269</definedName>
    <definedName name="cst_wskakunin_dairi5__space">DATA!$F$284</definedName>
    <definedName name="cst_wskakunin_dairi5_FAX">DATA!$F$283</definedName>
    <definedName name="cst_wskakunin_dairi5_JIMU__sikaku">DATA!$F$275</definedName>
    <definedName name="cst_wskakunin_dairi5_JIMU_NAME">DATA!$F$279</definedName>
    <definedName name="cst_wskakunin_dairi5_JIMU_NO">DATA!$F$278</definedName>
    <definedName name="cst_wskakunin_dairi5_JIMU_SIKAKU">DATA!$F$276</definedName>
    <definedName name="cst_wskakunin_dairi5_JIMU_TOUROKU_KIKAN">DATA!$F$277</definedName>
    <definedName name="cst_wskakunin_dairi5_KENTIKUSI_NO">DATA!$F$272</definedName>
    <definedName name="cst_wskakunin_dairi5_NAME">DATA!$F$273</definedName>
    <definedName name="cst_wskakunin_dairi5_NAME_KANA">DATA!$F$274</definedName>
    <definedName name="cst_wskakunin_dairi5_SIKAKU">DATA!$F$270</definedName>
    <definedName name="cst_wskakunin_dairi5_TEL">DATA!$F$282</definedName>
    <definedName name="cst_wskakunin_dairi5_TOUROKU_KIKAN">DATA!$F$271</definedName>
    <definedName name="cst_wskakunin_dairi5_ZIP">DATA!$F$280</definedName>
    <definedName name="cst_wskakunin_DOURO_FUKUIN">DATA!$F$933</definedName>
    <definedName name="cst_wskakunin_DOURO_NAGASA">DATA!$F$934</definedName>
    <definedName name="cst_wskakunin_ecotekihan01_FUYOU_CAUSE">DATA!$F$871</definedName>
    <definedName name="cst_wskakunin_ecotekihan01_miteisyutu_kikan_info">DATA!$F$870</definedName>
    <definedName name="cst_wskakunin_ecotekihan01_teisyutu_kikan_info">DATA!$F$869</definedName>
    <definedName name="cst_wskakunin_ecotekihan01_TEKIHAN_KIKAN_ADDRESS">DATA!$F$867</definedName>
    <definedName name="cst_wskakunin_ecotekihan01_TEKIHAN_KIKAN_KEN__ken">DATA!$F$866</definedName>
    <definedName name="cst_wskakunin_ecotekihan01_TEKIHAN_KIKAN_NAME">DATA!$F$865</definedName>
    <definedName name="cst_wskakunin_ecotekihan01_TEKIHAN_STATE_miteisyutu">DATA!$F$863</definedName>
    <definedName name="cst_wskakunin_ecotekihan01_TEKIHAN_STATE_teisyutu">DATA!$F$862</definedName>
    <definedName name="cst_wskakunin_ecotekihan01_TEKIHAN_STATE_teisyutufuyou">DATA!$F$864</definedName>
    <definedName name="cst_wskakunin_gaiyou1_EV_KIND">DATA!$F$1002</definedName>
    <definedName name="cst_wskakunin_gaiyou1_KOUJI_KAITIKU">DATA!$F$989</definedName>
    <definedName name="cst_wskakunin_gaiyou1_KOUJI_SINTIKU">DATA!$F$987</definedName>
    <definedName name="cst_wskakunin_gaiyou1_KOUJI_SONOTA">DATA!$F$990</definedName>
    <definedName name="cst_wskakunin_gaiyou1_KOUJI_SONOTA_TEXT">DATA!$F$991</definedName>
    <definedName name="cst_wskakunin_gaiyou1_KOUJI_ZOUTIKU">DATA!$F$988</definedName>
    <definedName name="cst_wskakunin_gaiyou1_KOUZOU">DATA!$F$986</definedName>
    <definedName name="cst_wskakunin_gaiyou1_NINSYOU_NO">DATA!$F$1008</definedName>
    <definedName name="cst_wskakunin_gaiyou1_NO">DATA!$F$1001</definedName>
    <definedName name="cst_wskakunin_gaiyou1_SEKISAI">DATA!$F$1004</definedName>
    <definedName name="cst_wskakunin_gaiyou1_SONOTA">DATA!$F$1007</definedName>
    <definedName name="cst_wskakunin_gaiyou1_SONOTA_and_NINSYOU_NO">DATA!$F$1009</definedName>
    <definedName name="cst_wskakunin_gaiyou1_SPEED">DATA!$F$1006</definedName>
    <definedName name="cst_wskakunin_gaiyou1_TAKASA">DATA!$F$985</definedName>
    <definedName name="cst_wskakunin_gaiyou1_TEIIN">DATA!$F$1005</definedName>
    <definedName name="cst_wskakunin_gaiyou1_TIKUZOU_MENSEKI_IGAI">DATA!$F$994</definedName>
    <definedName name="cst_wskakunin_gaiyou1_TIKUZOU_MENSEKI_SHINSEI">DATA!$F$993</definedName>
    <definedName name="cst_wskakunin_gaiyou1_TIKUZOU_MENSEKI_TOTAL">DATA!$F$995</definedName>
    <definedName name="cst_wskakunin_gaiyou1_WORK_COUNT_IGAI">DATA!$F$997</definedName>
    <definedName name="cst_wskakunin_gaiyou1_WORK_COUNT_SHINSEI">DATA!$F$996</definedName>
    <definedName name="cst_wskakunin_gaiyou1_WORK_COUNT_TOTAL">DATA!$F$998</definedName>
    <definedName name="cst_wskakunin_gaiyou1_WORK_SYURUI">DATA!$F$984</definedName>
    <definedName name="cst_wskakunin_gaiyou1_WORK_SYURUI_CODE">DATA!$F$983</definedName>
    <definedName name="cst_wskakunin_gaiyou1_YOUTO">DATA!$F$1003</definedName>
    <definedName name="cst_wskakunin_iken1__address">DATA!$F$544</definedName>
    <definedName name="cst_wskakunin_iken1_DOC">DATA!$F$547</definedName>
    <definedName name="cst_wskakunin_iken1_IKEN_NO">DATA!$F$546</definedName>
    <definedName name="cst_wskakunin_iken1_JIMU_NAME">DATA!$F$542</definedName>
    <definedName name="cst_wskakunin_iken1_NAME">DATA!$F$541</definedName>
    <definedName name="cst_wskakunin_iken1_TEL">DATA!$F$545</definedName>
    <definedName name="cst_wskakunin_iken1_ZIP">DATA!$F$543</definedName>
    <definedName name="cst_wskakunin_iken2__address">DATA!$F$553</definedName>
    <definedName name="cst_wskakunin_iken2_DOC">DATA!$F$556</definedName>
    <definedName name="cst_wskakunin_iken2_IKEN_NO">DATA!$F$555</definedName>
    <definedName name="cst_wskakunin_iken2_JIMU_NAME">DATA!$F$551</definedName>
    <definedName name="cst_wskakunin_iken2_NAME">DATA!$F$550</definedName>
    <definedName name="cst_wskakunin_iken2_TEL">DATA!$F$554</definedName>
    <definedName name="cst_wskakunin_iken2_ZIP">DATA!$F$552</definedName>
    <definedName name="cst_wskakunin_iken3__address">DATA!$F$562</definedName>
    <definedName name="cst_wskakunin_iken3_DOC">DATA!$F$565</definedName>
    <definedName name="cst_wskakunin_iken3_IKEN_NO">DATA!$F$564</definedName>
    <definedName name="cst_wskakunin_iken3_JIMU_NAME">DATA!$F$560</definedName>
    <definedName name="cst_wskakunin_iken3_NAME">DATA!$F$559</definedName>
    <definedName name="cst_wskakunin_iken3_TEL">DATA!$F$563</definedName>
    <definedName name="cst_wskakunin_iken3_ZIP">DATA!$F$561</definedName>
    <definedName name="cst_wskakunin_iken4__address">DATA!$F$571</definedName>
    <definedName name="cst_wskakunin_iken4_DOC">DATA!$F$574</definedName>
    <definedName name="cst_wskakunin_iken4_IKEN_NO">DATA!$F$573</definedName>
    <definedName name="cst_wskakunin_iken4_JIMU_NAME">DATA!$F$569</definedName>
    <definedName name="cst_wskakunin_iken4_NAME">DATA!$F$568</definedName>
    <definedName name="cst_wskakunin_iken4_TEL">DATA!$F$572</definedName>
    <definedName name="cst_wskakunin_iken4_ZIP">DATA!$F$570</definedName>
    <definedName name="cst_wskakunin_iken5__address">DATA!$F$579</definedName>
    <definedName name="cst_wskakunin_iken5_DOC">DATA!$F$582</definedName>
    <definedName name="cst_wskakunin_iken5_IKEN_NO">DATA!$F$581</definedName>
    <definedName name="cst_wskakunin_iken5_JIMU_NAME">DATA!$F$577</definedName>
    <definedName name="cst_wskakunin_iken5_NAME">DATA!$F$576</definedName>
    <definedName name="cst_wskakunin_iken5_TEL">DATA!$F$580</definedName>
    <definedName name="cst_wskakunin_iken5_ZIP">DATA!$F$578</definedName>
    <definedName name="cst_wskakunin_KAISU_TIJYOU_SHINSEI">DATA!$F$1106</definedName>
    <definedName name="cst_wskakunin_KAISU_TIJYOU_SONOTA">DATA!$F$1107</definedName>
    <definedName name="cst_wskakunin_KAISU_TIKA_SHINSEI__zero">DATA!$F$1109</definedName>
    <definedName name="cst_wskakunin_KAISU_TIKA_SONOTA">DATA!$F$1110</definedName>
    <definedName name="cst_wskakunin_KANRI_NAME">DATA!$F$77</definedName>
    <definedName name="cst_wskakunin_kanri1__address">DATA!$F$597</definedName>
    <definedName name="cst_wskakunin_kanri1__sikaku">DATA!$F$585</definedName>
    <definedName name="cst_wskakunin_kanri1_DOC">DATA!$F$599</definedName>
    <definedName name="cst_wskakunin_kanri1_JIMU">DATA!$F$590</definedName>
    <definedName name="cst_wskakunin_kanri1_JIMU_NAME">DATA!$F$594</definedName>
    <definedName name="cst_wskakunin_kanri1_JIMU_NO">DATA!$F$593</definedName>
    <definedName name="cst_wskakunin_kanri1_JIMU_SIKAKU">DATA!$F$591</definedName>
    <definedName name="cst_wskakunin_kanri1_JIMU_TOUROKU_KIKAN">DATA!$F$592</definedName>
    <definedName name="cst_wskakunin_kanri1_KENTIKUSI_NO">DATA!$F$588</definedName>
    <definedName name="cst_wskakunin_kanri1_NAME">DATA!$F$589</definedName>
    <definedName name="cst_wskakunin_kanri1_SIKAKU">DATA!$F$586</definedName>
    <definedName name="cst_wskakunin_kanri1_TEL">DATA!$F$598</definedName>
    <definedName name="cst_wskakunin_kanri1_TOUROKU_KIKAN">DATA!$F$587</definedName>
    <definedName name="cst_wskakunin_kanri1_ZIP">DATA!$F$595</definedName>
    <definedName name="cst_wskakunin_kanri1_ZIP2">DATA!$F$596</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DATA!$F$1309</definedName>
    <definedName name="cst_wskakunin_keibi_henkou01_HENKOU_SYURUI">DATA!$F$1308</definedName>
    <definedName name="cst_wskakunin_KENPEI_RITU">DATA!$F$1018</definedName>
    <definedName name="cst_wskakunin_KENPEI_RITU_A">DATA!$F$957</definedName>
    <definedName name="cst_wskakunin_KENPEI_RITU_B">DATA!$F$958</definedName>
    <definedName name="cst_wskakunin_KENPEI_RITU_C">DATA!$F$959</definedName>
    <definedName name="cst_wskakunin_KENPEI_RITU_D">DATA!$F$960</definedName>
    <definedName name="cst_wskakunin_KENSA_YUKA_MENSEKI_select">DATA!$F$1217</definedName>
    <definedName name="cst_wskakunin_KENTIKU_MENSEKI_IGAI">DATA!$F$1016</definedName>
    <definedName name="cst_wskakunin_KENTIKU_MENSEKI_SHINSEI">DATA!$F$1015</definedName>
    <definedName name="cst_wskakunin_KENTIKU_MENSEKI_TOTAL">DATA!$F$1017</definedName>
    <definedName name="cst_wskakunin_KENTIKU_MENSEKI_ZENTAI_IGAI">DATA!$F$1013</definedName>
    <definedName name="cst_wskakunin_KENTIKU_MENSEKI_ZENTAI_SHINSEI">DATA!$F$1012</definedName>
    <definedName name="cst_wskakunin_KENTIKU_MENSEKI_ZENTAI_TOTAL">DATA!$F$1014</definedName>
    <definedName name="cst_wskakunin_KENTIKU_NINSYO_NO">DATA!$F$1205</definedName>
    <definedName name="cst_wskakunin_KIKAN_NAME">DATA!$F$51</definedName>
    <definedName name="cst_wskakunin_KITEI_CHOUSA_FLAG">DATA!$F$1183</definedName>
    <definedName name="cst_wskakunin_KITEI_CHOUSA_FLAG_box_off">DATA!$F$1185</definedName>
    <definedName name="cst_wskakunin_KITEI_CHOUSA_FLAG_box_on">DATA!$F$1184</definedName>
    <definedName name="cst_wskakunin_KOUJI_DAI_MOYOUGAE_box">DATA!$F$979</definedName>
    <definedName name="cst_wskakunin_KOUJI_DAI_SYUUZEN_box">DATA!$F$978</definedName>
    <definedName name="cst_wskakunin_KOUJI_ITEN_box">DATA!$F$976</definedName>
    <definedName name="cst_wskakunin_KOUJI_KAITIKU_box">DATA!$F$975</definedName>
    <definedName name="cst_wskakunin_KOUJI_KANRYOU_DATE_select">DATA!$F$1312</definedName>
    <definedName name="cst_wskakunin_KOUJI_KANRYOU_YOTEI_DATE">DATA!$F$1156</definedName>
    <definedName name="cst_wskakunin_KOUJI_KANRYOU_YOTEI_DATE_select">DATA!$F$1210</definedName>
    <definedName name="cst_wskakunin_KOUJI_SETUBI_box">DATA!$F$980</definedName>
    <definedName name="cst_wskakunin_KOUJI_SINTIKU_box">DATA!$F$973</definedName>
    <definedName name="cst_wskakunin_KOUJI_TYAKUSYU_DATE_select">DATA!$F$1207</definedName>
    <definedName name="cst_wskakunin_KOUJI_TYAKUSYU_YOTEI_DATE">DATA!$F$1154</definedName>
    <definedName name="cst_wskakunin_KOUJI_YOUTOHENKOU_box">DATA!$F$977</definedName>
    <definedName name="cst_wskakunin_KOUJI_ZOUTIKU_box">DATA!$F$974</definedName>
    <definedName name="cst_wskakunin_koutei_ikou01_KOUTEI_DATE">DATA!$F$1280</definedName>
    <definedName name="cst_wskakunin_koutei_ikou01_KOUTEI_DATE_inter1">DATA!$F$1290</definedName>
    <definedName name="cst_wskakunin_koutei_ikou01_KOUTEI_DATE_inter2">DATA!$F$1295</definedName>
    <definedName name="cst_wskakunin_koutei_ikou01_KOUTEI_KAISUU">DATA!$F$1278</definedName>
    <definedName name="cst_wskakunin_koutei_ikou01_KOUTEI_KAISUU_inter1">DATA!$F$1288</definedName>
    <definedName name="cst_wskakunin_koutei_ikou01_KOUTEI_KAISUU_inter2">DATA!$F$1293</definedName>
    <definedName name="cst_wskakunin_koutei_ikou01_KOUTEI_TEXT">DATA!$F$1279</definedName>
    <definedName name="cst_wskakunin_koutei_ikou01_KOUTEI_TEXT_inter1">DATA!$F$1289</definedName>
    <definedName name="cst_wskakunin_koutei_ikou01_KOUTEI_TEXT_inter2">DATA!$F$1294</definedName>
    <definedName name="cst_wskakunin_koutei_ikou02_KOUTEI_DATE">DATA!$F$1285</definedName>
    <definedName name="cst_wskakunin_koutei_ikou02_KOUTEI_DATE_inter1">DATA!$F$1300</definedName>
    <definedName name="cst_wskakunin_koutei_ikou02_KOUTEI_DATE_inter2">DATA!$F$1305</definedName>
    <definedName name="cst_wskakunin_koutei_ikou02_KOUTEI_KAISUU">DATA!$F$1283</definedName>
    <definedName name="cst_wskakunin_koutei_ikou02_KOUTEI_KAISUU_inter1">DATA!$F$1298</definedName>
    <definedName name="cst_wskakunin_koutei_ikou02_KOUTEI_KAISUU_inter2">DATA!$F$1303</definedName>
    <definedName name="cst_wskakunin_koutei_ikou02_KOUTEI_TEXT">DATA!$F$1284</definedName>
    <definedName name="cst_wskakunin_koutei_ikou02_KOUTEI_TEXT_inter1">DATA!$F$1299</definedName>
    <definedName name="cst_wskakunin_koutei_ikou02_KOUTEI_TEXT_inter2">DATA!$F$1304</definedName>
    <definedName name="cst_wskakunin_koutei_izen01_INTER_ISSUE_DATE">DATA!$F$1225</definedName>
    <definedName name="cst_wskakunin_koutei_izen01_INTER_ISSUE_DATE_inter1">DATA!$F$1253</definedName>
    <definedName name="cst_wskakunin_koutei_izen01_INTER_ISSUE_DATE_inter2">DATA!$F$1260</definedName>
    <definedName name="cst_wskakunin_koutei_izen01_INTER_ISSUE_NAME">DATA!$F$1223</definedName>
    <definedName name="cst_wskakunin_koutei_izen01_INTER_ISSUE_NAME_inter1">DATA!$F$1251</definedName>
    <definedName name="cst_wskakunin_koutei_izen01_INTER_ISSUE_NAME_inter2">DATA!$F$1258</definedName>
    <definedName name="cst_wskakunin_koutei_izen01_INTER_ISSUE_NO">DATA!$F$1224</definedName>
    <definedName name="cst_wskakunin_koutei_izen01_INTER_ISSUE_NO_inter1">DATA!$F$1252</definedName>
    <definedName name="cst_wskakunin_koutei_izen01_INTER_ISSUE_NO_inter2">DATA!$F$1259</definedName>
    <definedName name="cst_wskakunin_koutei_izen01_KOUTEI_KAISUU">DATA!$F$1221</definedName>
    <definedName name="cst_wskakunin_koutei_izen01_KOUTEI_KAISUU_inter1">DATA!$F$1249</definedName>
    <definedName name="cst_wskakunin_koutei_izen01_KOUTEI_KAISUU_inter2">DATA!$F$1256</definedName>
    <definedName name="cst_wskakunin_koutei_izen01_KOUTEI_TEXT">DATA!$F$1222</definedName>
    <definedName name="cst_wskakunin_koutei_izen01_KOUTEI_TEXT_inter1">DATA!$F$1250</definedName>
    <definedName name="cst_wskakunin_koutei_izen01_KOUTEI_TEXT_inter2">DATA!$F$1257</definedName>
    <definedName name="cst_wskakunin_koutei_izen02_INTER_ISSUE_DATE">DATA!$F$1232</definedName>
    <definedName name="cst_wskakunin_koutei_izen02_INTER_ISSUE_DATE_inter1">DATA!$F$1267</definedName>
    <definedName name="cst_wskakunin_koutei_izen02_INTER_ISSUE_DATE_inter2">DATA!$F$1274</definedName>
    <definedName name="cst_wskakunin_koutei_izen02_INTER_ISSUE_NAME">DATA!$F$1230</definedName>
    <definedName name="cst_wskakunin_koutei_izen02_INTER_ISSUE_NAME_inter1">DATA!$F$1265</definedName>
    <definedName name="cst_wskakunin_koutei_izen02_INTER_ISSUE_NAME_inter2">DATA!$F$1272</definedName>
    <definedName name="cst_wskakunin_koutei_izen02_INTER_ISSUE_NO">DATA!$F$1231</definedName>
    <definedName name="cst_wskakunin_koutei_izen02_INTER_ISSUE_NO_inter1">DATA!$F$1266</definedName>
    <definedName name="cst_wskakunin_koutei_izen02_INTER_ISSUE_NO_inter2">DATA!$F$1273</definedName>
    <definedName name="cst_wskakunin_koutei_izen02_KOUTEI_KAISUU">DATA!$F$1228</definedName>
    <definedName name="cst_wskakunin_koutei_izen02_KOUTEI_KAISUU_inter1">DATA!$F$1263</definedName>
    <definedName name="cst_wskakunin_koutei_izen02_KOUTEI_KAISUU_inter2">DATA!$F$1270</definedName>
    <definedName name="cst_wskakunin_koutei_izen02_KOUTEI_TEXT">DATA!$F$1229</definedName>
    <definedName name="cst_wskakunin_koutei_izen02_KOUTEI_TEXT_inter1">DATA!$F$1264</definedName>
    <definedName name="cst_wskakunin_koutei_izen02_KOUTEI_TEXT_inter2">DATA!$F$1271</definedName>
    <definedName name="cst_wskakunin_koutei_izen03_INTER_ISSUE_DATE">DATA!$F$1239</definedName>
    <definedName name="cst_wskakunin_koutei_izen03_INTER_ISSUE_NAME">DATA!$F$1237</definedName>
    <definedName name="cst_wskakunin_koutei_izen03_INTER_ISSUE_NO">DATA!$F$1238</definedName>
    <definedName name="cst_wskakunin_koutei_izen03_KOUTEI_KAISUU">DATA!$F$1235</definedName>
    <definedName name="cst_wskakunin_koutei_izen03_KOUTEI_TEXT">DATA!$F$1236</definedName>
    <definedName name="cst_wskakunin_koutei_izen04_INTER_ISSUE_DATE">DATA!$F$1246</definedName>
    <definedName name="cst_wskakunin_koutei_izen04_INTER_ISSUE_NAME">DATA!$F$1244</definedName>
    <definedName name="cst_wskakunin_koutei_izen04_INTER_ISSUE_NO">DATA!$F$1245</definedName>
    <definedName name="cst_wskakunin_koutei_izen04_KOUTEI_KAISUU">DATA!$F$1242</definedName>
    <definedName name="cst_wskakunin_koutei_izen04_KOUTEI_TEXT">DATA!$F$1243</definedName>
    <definedName name="cst_wskakunin_koutei_keika01_INTER_ISSUE_DATE_select">DATA!$F$1326</definedName>
    <definedName name="cst_wskakunin_koutei_keika01_INTER_ISSUE_NAME_select">DATA!$F$1324</definedName>
    <definedName name="cst_wskakunin_koutei_keika01_INTER_ISSUE_NO_select">DATA!$F$1325</definedName>
    <definedName name="cst_wskakunin_koutei_keika01_KOUTEI_KAISUU_select">DATA!$F$1322</definedName>
    <definedName name="cst_wskakunin_koutei_keika01_KOUTEI_TEXT_select">DATA!$F$1323</definedName>
    <definedName name="cst_wskakunin_koutei_keika02_INTER_ISSUE_DATE_select">DATA!$F$1341</definedName>
    <definedName name="cst_wskakunin_koutei_keika02_INTER_ISSUE_NAME_select">DATA!$F$1339</definedName>
    <definedName name="cst_wskakunin_koutei_keika02_INTER_ISSUE_NO_select">DATA!$F$1340</definedName>
    <definedName name="cst_wskakunin_koutei_keika02_KOUTEI_KAISUU_select">DATA!$F$1337</definedName>
    <definedName name="cst_wskakunin_koutei_keika02_KOUTEI_TEXT_select">DATA!$F$1338</definedName>
    <definedName name="cst_wskakunin_koutei01_INTER_ISSUE_DATE">DATA!$F$1319</definedName>
    <definedName name="cst_wskakunin_koutei01_INTER_ISSUE_NAME">DATA!$F$1317</definedName>
    <definedName name="cst_wskakunin_koutei01_INTER_ISSUE_NO">DATA!$F$1318</definedName>
    <definedName name="cst_wskakunin_koutei01_KOUTEI_DATE">DATA!$F$1165</definedName>
    <definedName name="cst_wskakunin_koutei01_KOUTEI_KAISUU">DATA!$F$1164</definedName>
    <definedName name="cst_wskakunin_koutei01_KOUTEI_TEXT">DATA!$F$1166</definedName>
    <definedName name="cst_wskakunin_koutei02_INTER_ISSUE_DATE">DATA!$F$1333</definedName>
    <definedName name="cst_wskakunin_koutei02_INTER_ISSUE_NAME">DATA!$F$1331</definedName>
    <definedName name="cst_wskakunin_koutei02_INTER_ISSUE_NO">DATA!$F$1332</definedName>
    <definedName name="cst_wskakunin_koutei02_KOUTEI_DATE">DATA!$F$1170</definedName>
    <definedName name="cst_wskakunin_koutei02_KOUTEI_KAISUU">DATA!$F$1169</definedName>
    <definedName name="cst_wskakunin_koutei02_KOUTEI_TEXT">DATA!$F$1171</definedName>
    <definedName name="cst_wskakunin_koutei03_KOUTEI_DATE">DATA!$F$1175</definedName>
    <definedName name="cst_wskakunin_koutei03_KOUTEI_KAISUU">DATA!$F$1174</definedName>
    <definedName name="cst_wskakunin_koutei03_KOUTEI_TEXT">DATA!$F$1176</definedName>
    <definedName name="cst_wskakunin_koutei04_KOUTEI_DATE">DATA!$F$1180</definedName>
    <definedName name="cst_wskakunin_koutei04_KOUTEI_KAISUU">DATA!$F$1179</definedName>
    <definedName name="cst_wskakunin_koutei04_KOUTEI_TEXT">DATA!$F$1181</definedName>
    <definedName name="cst_wskakunin_KOUZOU">DATA!$F$1116</definedName>
    <definedName name="cst_wskakunin_KOUZOU_mokuzou">DATA!$F$1114</definedName>
    <definedName name="cst_wskakunin_KOUZOU_zairai">DATA!$F$1115</definedName>
    <definedName name="cst_wskakunin_KOUZOU1">DATA!$F$1112</definedName>
    <definedName name="cst_wskakunin_KOUZOU2">DATA!$F$1113</definedName>
    <definedName name="cst_wskakunin_KUIKI_HISETTEI">DATA!$F$920</definedName>
    <definedName name="cst_wskakunin_KUIKI_JYUN_TOSHI">DATA!$F$921</definedName>
    <definedName name="cst_wskakunin_KUIKI_KUIKIGAI">DATA!$F$922</definedName>
    <definedName name="cst_wskakunin_KUIKI_SIGAIKA">DATA!$F$917</definedName>
    <definedName name="cst_wskakunin_KUIKI_TOSI">DATA!$F$914</definedName>
    <definedName name="cst_wskakunin_KUIKI_TYOSEI">DATA!$F$919</definedName>
    <definedName name="cst_wskakunin_kyoka_HOUREI_all">DATA!$F$1152</definedName>
    <definedName name="cst_wskakunin_kyoka01_BIKOU">DATA!$F$1133</definedName>
    <definedName name="cst_wskakunin_kyoka01_HOUREI">DATA!$F$1129</definedName>
    <definedName name="cst_wskakunin_kyoka01_JOUKOU">DATA!$F$1130</definedName>
    <definedName name="cst_wskakunin_kyoka01_KYOKA_DATE">DATA!$F$1132</definedName>
    <definedName name="cst_wskakunin_kyoka01_KYOKA_NO">DATA!$F$1131</definedName>
    <definedName name="cst_wskakunin_kyoka02_BIKOU">DATA!$F$1141</definedName>
    <definedName name="cst_wskakunin_kyoka02_HOUREI">DATA!$F$1137</definedName>
    <definedName name="cst_wskakunin_kyoka02_JOUKOU">DATA!$F$1138</definedName>
    <definedName name="cst_wskakunin_kyoka02_KYOKA_DATE">DATA!$F$1140</definedName>
    <definedName name="cst_wskakunin_kyoka02_KYOKA_NO">DATA!$F$1139</definedName>
    <definedName name="cst_wskakunin_kyoka03_BIKOU">DATA!$F$1149</definedName>
    <definedName name="cst_wskakunin_kyoka03_HOUREI">DATA!$F$1145</definedName>
    <definedName name="cst_wskakunin_kyoka03_JOUKOU">DATA!$F$1146</definedName>
    <definedName name="cst_wskakunin_kyoka03_KYOKA_DATE">DATA!$F$1148</definedName>
    <definedName name="cst_wskakunin_kyoka03_KYOKA_NO">DATA!$F$1147</definedName>
    <definedName name="cst_wskakunin_LAST_ISSUE_DATE">DATA!$F$59</definedName>
    <definedName name="cst_wskakunin_LAST_ISSUE_NAME">DATA!$F$60</definedName>
    <definedName name="cst_wskakunin_LAST_ISSUE_NO">DATA!$F$58</definedName>
    <definedName name="cst_wskakunin_LIMIT_KENPEI_RITU">DATA!$F$965</definedName>
    <definedName name="cst_wskakunin_LIMIT_YOUSEKI_RITU">DATA!$F$964</definedName>
    <definedName name="cst_wskakunin_NOBE_MENSEKI">DATA!$F$1092</definedName>
    <definedName name="cst_wskakunin_NOBE_MENSEKI_BITIKUSOUKO_IGAI">DATA!$F$1053</definedName>
    <definedName name="cst_wskakunin_NOBE_MENSEKI_BITIKUSOUKO_SHINSEI">DATA!$F$1052</definedName>
    <definedName name="cst_wskakunin_NOBE_MENSEKI_BITIKUSOUKO_TOTAL">DATA!$F$1054</definedName>
    <definedName name="cst_wskakunin_NOBE_MENSEKI_BUILD_IGAI">DATA!$F$1023</definedName>
    <definedName name="cst_wskakunin_NOBE_MENSEKI_BUILD_SHINSEI">DATA!$F$1022</definedName>
    <definedName name="cst_wskakunin_NOBE_MENSEKI_BUILD_TOTAL">DATA!$F$1024</definedName>
    <definedName name="cst_wskakunin_NOBE_MENSEKI_CHOSUISOU_IGAI">DATA!$F$1068</definedName>
    <definedName name="cst_wskakunin_NOBE_MENSEKI_CHOSUISOU_SHINSEI">DATA!$F$1067</definedName>
    <definedName name="cst_wskakunin_NOBE_MENSEKI_CHOSUISOU_TOTAL">DATA!$F$1069</definedName>
    <definedName name="cst_wskakunin_NOBE_MENSEKI_FUSANNYU_IGAI">DATA!$F$1078</definedName>
    <definedName name="cst_wskakunin_NOBE_MENSEKI_FUSANNYU_SHINSEI">DATA!$F$1077</definedName>
    <definedName name="cst_wskakunin_NOBE_MENSEKI_FUSANNYU_TOTAL">DATA!$F$1079</definedName>
    <definedName name="cst_wskakunin_NOBE_MENSEKI_JIKAHATUDEN_IGAI">DATA!$F$1063</definedName>
    <definedName name="cst_wskakunin_NOBE_MENSEKI_JIKAHATUDEN_SHINSEI">DATA!$F$1062</definedName>
    <definedName name="cst_wskakunin_NOBE_MENSEKI_JIKAHATUDEN_TOTAL">DATA!$F$1064</definedName>
    <definedName name="cst_wskakunin_NOBE_MENSEKI_JYUTAKU_IGAI">DATA!$F$1083</definedName>
    <definedName name="cst_wskakunin_NOBE_MENSEKI_JYUTAKU_SHINSEI">DATA!$F$1082</definedName>
    <definedName name="cst_wskakunin_NOBE_MENSEKI_JYUTAKU_TOTAL">DATA!$F$1084</definedName>
    <definedName name="cst_wskakunin_NOBE_MENSEKI_KIKAI_IGAI">DATA!$F$1043</definedName>
    <definedName name="cst_wskakunin_NOBE_MENSEKI_KIKAI_SHINSEI">DATA!$F$1042</definedName>
    <definedName name="cst_wskakunin_NOBE_MENSEKI_KIKAI_TOTAL">DATA!$F$1044</definedName>
    <definedName name="cst_wskakunin_NOBE_MENSEKI_KYOYOU_IGAI">DATA!$F$1038</definedName>
    <definedName name="cst_wskakunin_NOBE_MENSEKI_KYOYOU_SHINSEI">DATA!$F$1037</definedName>
    <definedName name="cst_wskakunin_NOBE_MENSEKI_KYOYOU_TOTAL">DATA!$F$1039</definedName>
    <definedName name="cst_wskakunin_NOBE_MENSEKI_ROUJIN_IGAI">DATA!$F$1088</definedName>
    <definedName name="cst_wskakunin_NOBE_MENSEKI_ROUJIN_SHINSEI">DATA!$F$1087</definedName>
    <definedName name="cst_wskakunin_NOBE_MENSEKI_ROUJIN_TOTAL">DATA!$F$1089</definedName>
    <definedName name="cst_wskakunin_NOBE_MENSEKI_SYAKO_IGAI">DATA!$F$1048</definedName>
    <definedName name="cst_wskakunin_NOBE_MENSEKI_SYAKO_SHINSEI">DATA!$F$1047</definedName>
    <definedName name="cst_wskakunin_NOBE_MENSEKI_SYAKO_TOTAL">DATA!$F$1049</definedName>
    <definedName name="cst_wskakunin_NOBE_MENSEKI_SYOUKOURO_IGAI">DATA!$F$1033</definedName>
    <definedName name="cst_wskakunin_NOBE_MENSEKI_SYOUKOURO_SHINSEI">DATA!$F$1032</definedName>
    <definedName name="cst_wskakunin_NOBE_MENSEKI_SYOUKOURO_TOTAL">DATA!$F$1034</definedName>
    <definedName name="cst_wskakunin_NOBE_MENSEKI_TAKUHAI_IGAI">DATA!$F$1073</definedName>
    <definedName name="cst_wskakunin_NOBE_MENSEKI_TAKUHAI_SHINSEI">DATA!$F$1072</definedName>
    <definedName name="cst_wskakunin_NOBE_MENSEKI_TAKUHAI_TOTAL">DATA!$F$1074</definedName>
    <definedName name="cst_wskakunin_NOBE_MENSEKI_TIKAI_IGAI">DATA!$F$1028</definedName>
    <definedName name="cst_wskakunin_NOBE_MENSEKI_TIKAI_SHINSEI">DATA!$F$1027</definedName>
    <definedName name="cst_wskakunin_NOBE_MENSEKI_TIKAI_TOTAL">DATA!$F$1029</definedName>
    <definedName name="cst_wskakunin_NOBE_MENSEKI_TIKUDENTI_IGAI">DATA!$F$1058</definedName>
    <definedName name="cst_wskakunin_NOBE_MENSEKI_TIKUDENTI_SHINSEI">DATA!$F$1057</definedName>
    <definedName name="cst_wskakunin_NOBE_MENSEKI_TIKUDENTI_TOTAL">DATA!$F$1059</definedName>
    <definedName name="cst_wskakunin_owner1__address">DATA!$F$90</definedName>
    <definedName name="cst_wskakunin_owner1__space">DATA!$F$92</definedName>
    <definedName name="cst_wskakunin_owner1__space_KANA">DATA!$F$86</definedName>
    <definedName name="cst_wskakunin_owner1__space_KANA2">DATA!$F$87</definedName>
    <definedName name="cst_wskakunin_owner1__space2">DATA!$F$93</definedName>
    <definedName name="cst_wskakunin_owner1__space3">DATA!$F$94</definedName>
    <definedName name="cst_wskakunin_owner1__space4">DATA!$F$95</definedName>
    <definedName name="cst_wskakunin_owner1_JIMU_NAME">DATA!$F$80</definedName>
    <definedName name="cst_wskakunin_owner1_JIMU_NAME_KANA">DATA!$F$81</definedName>
    <definedName name="cst_wskakunin_owner1_NAME">DATA!$F$84</definedName>
    <definedName name="cst_wskakunin_owner1_NAME_KANA">DATA!$F$85</definedName>
    <definedName name="cst_wskakunin_owner1_POST">DATA!$F$82</definedName>
    <definedName name="cst_wskakunin_owner1_POST_KANA">DATA!$F$83</definedName>
    <definedName name="cst_wskakunin_owner1_TEL">DATA!$F$91</definedName>
    <definedName name="cst_wskakunin_owner1_ZIP">DATA!$F$88</definedName>
    <definedName name="cst_wskakunin_owner1_ZIP2">DATA!$F$89</definedName>
    <definedName name="cst_wskakunin_owner2__address">DATA!$F$107</definedName>
    <definedName name="cst_wskakunin_owner2__space">DATA!$F$109</definedName>
    <definedName name="cst_wskakunin_owner2__space_KANA">DATA!$F$104</definedName>
    <definedName name="cst_wskakunin_owner2__space_KANA2">DATA!$F$105</definedName>
    <definedName name="cst_wskakunin_owner2__space2">DATA!$F$110</definedName>
    <definedName name="cst_wskakunin_owner2__space3">DATA!$F$111</definedName>
    <definedName name="cst_wskakunin_owner2_JIMU_NAME">DATA!$F$98</definedName>
    <definedName name="cst_wskakunin_owner2_JIMU_NAME_KANA">DATA!$F$99</definedName>
    <definedName name="cst_wskakunin_owner2_NAME">DATA!$F$102</definedName>
    <definedName name="cst_wskakunin_owner2_NAME_KANA">DATA!$F$103</definedName>
    <definedName name="cst_wskakunin_owner2_POST">DATA!$F$100</definedName>
    <definedName name="cst_wskakunin_owner2_POST_KANA">DATA!$F$101</definedName>
    <definedName name="cst_wskakunin_owner2_TEL">DATA!$F$108</definedName>
    <definedName name="cst_wskakunin_owner2_ZIP">DATA!$F$106</definedName>
    <definedName name="cst_wskakunin_owner3__address">DATA!$F$121</definedName>
    <definedName name="cst_wskakunin_owner3__space">DATA!$F$123</definedName>
    <definedName name="cst_wskakunin_owner3_JIMU_NAME">DATA!$F$114</definedName>
    <definedName name="cst_wskakunin_owner3_JIMU_NAME_KANA">DATA!$F$115</definedName>
    <definedName name="cst_wskakunin_owner3_NAME">DATA!$F$118</definedName>
    <definedName name="cst_wskakunin_owner3_NAME_KANA">DATA!$F$119</definedName>
    <definedName name="cst_wskakunin_owner3_POST">DATA!$F$116</definedName>
    <definedName name="cst_wskakunin_owner3_POST_KANA">DATA!$F$117</definedName>
    <definedName name="cst_wskakunin_owner3_TEL">DATA!$F$122</definedName>
    <definedName name="cst_wskakunin_owner3_ZIP">DATA!$F$120</definedName>
    <definedName name="cst_wskakunin_owner4__address">DATA!$F$133</definedName>
    <definedName name="cst_wskakunin_owner4__space">DATA!$F$135</definedName>
    <definedName name="cst_wskakunin_owner4_JIMU_NAME">DATA!$F$126</definedName>
    <definedName name="cst_wskakunin_owner4_JIMU_NAME_KANA">DATA!$F$127</definedName>
    <definedName name="cst_wskakunin_owner4_NAME">DATA!$F$130</definedName>
    <definedName name="cst_wskakunin_owner4_NAME_KANA">DATA!$F$131</definedName>
    <definedName name="cst_wskakunin_owner4_POST">DATA!$F$128</definedName>
    <definedName name="cst_wskakunin_owner4_POST_KANA">DATA!$F$129</definedName>
    <definedName name="cst_wskakunin_owner4_TEL">DATA!$F$134</definedName>
    <definedName name="cst_wskakunin_owner4_ZIP">DATA!$F$132</definedName>
    <definedName name="cst_wskakunin_owner5__address">DATA!$F$145</definedName>
    <definedName name="cst_wskakunin_owner5__space">DATA!$F$147</definedName>
    <definedName name="cst_wskakunin_owner5_JIMU_NAME">DATA!$F$138</definedName>
    <definedName name="cst_wskakunin_owner5_JIMU_NAME_KANA">DATA!$F$139</definedName>
    <definedName name="cst_wskakunin_owner5_NAME">DATA!$F$142</definedName>
    <definedName name="cst_wskakunin_owner5_NAME_KANA">DATA!$F$143</definedName>
    <definedName name="cst_wskakunin_owner5_POST">DATA!$F$140</definedName>
    <definedName name="cst_wskakunin_owner5_POST_KANA">DATA!$F$141</definedName>
    <definedName name="cst_wskakunin_owner5_TEL">DATA!$F$146</definedName>
    <definedName name="cst_wskakunin_owner5_ZIP">DATA!$F$144</definedName>
    <definedName name="cst_wskakunin_owner6__address">DATA!$F$157</definedName>
    <definedName name="cst_wskakunin_owner6__space2">DATA!$F$168</definedName>
    <definedName name="cst_wskakunin_owner6__space3">DATA!$F$159</definedName>
    <definedName name="cst_wskakunin_owner6_JIMU_NAME">DATA!$F$150</definedName>
    <definedName name="cst_wskakunin_owner6_JIMU_NAME_KANA">DATA!$F$151</definedName>
    <definedName name="cst_wskakunin_owner6_NAME">DATA!$F$154</definedName>
    <definedName name="cst_wskakunin_owner6_NAME_KANA">DATA!$F$155</definedName>
    <definedName name="cst_wskakunin_owner6_POST">DATA!$F$152</definedName>
    <definedName name="cst_wskakunin_owner6_POST_KANA">DATA!$F$153</definedName>
    <definedName name="cst_wskakunin_owner6_TEL">DATA!$F$158</definedName>
    <definedName name="cst_wskakunin_owner6_ZIP">DATA!$F$156</definedName>
    <definedName name="cst_wskakunin_owner7__address">DATA!$F$169</definedName>
    <definedName name="cst_wskakunin_owner7_JIMU_NAME">DATA!$F$162</definedName>
    <definedName name="cst_wskakunin_owner7_JIMU_NAME_KANA">DATA!$F$163</definedName>
    <definedName name="cst_wskakunin_owner7_NAME">DATA!$F$166</definedName>
    <definedName name="cst_wskakunin_owner7_NAME_KANA">DATA!$F$167</definedName>
    <definedName name="cst_wskakunin_owner7_POST">DATA!$F$164</definedName>
    <definedName name="cst_wskakunin_owner7_POST_KANA">DATA!$F$165</definedName>
    <definedName name="cst_wskakunin_owner7_TEL">DATA!$F$170</definedName>
    <definedName name="cst_wskakunin_owner7_ZIP">DATA!$F$168</definedName>
    <definedName name="cst_wskakunin_owner8__address">DATA!$F$180</definedName>
    <definedName name="cst_wskakunin_owner8_JIMU_NAME">DATA!$F$173</definedName>
    <definedName name="cst_wskakunin_owner8_JIMU_NAME_KANA">DATA!$F$174</definedName>
    <definedName name="cst_wskakunin_owner8_NAME">DATA!$F$177</definedName>
    <definedName name="cst_wskakunin_owner8_NAME_KANA">DATA!$F$178</definedName>
    <definedName name="cst_wskakunin_owner8_POST">DATA!$F$175</definedName>
    <definedName name="cst_wskakunin_owner8_POST_KANA">DATA!$F$176</definedName>
    <definedName name="cst_wskakunin_owner8_TEL">DATA!$F$181</definedName>
    <definedName name="cst_wskakunin_owner8_ZIP">DATA!$F$179</definedName>
    <definedName name="cst_wskakunin_owner9__address">DATA!$F$191</definedName>
    <definedName name="cst_wskakunin_owner9_JIMU_NAME">DATA!$F$184</definedName>
    <definedName name="cst_wskakunin_owner9_JIMU_NAME_KANA">DATA!$F$185</definedName>
    <definedName name="cst_wskakunin_owner9_NAME">DATA!$F$188</definedName>
    <definedName name="cst_wskakunin_owner9_NAME_KANA">DATA!$F$189</definedName>
    <definedName name="cst_wskakunin_owner9_POST">DATA!$F$186</definedName>
    <definedName name="cst_wskakunin_owner9_POST_KANA">DATA!$F$187</definedName>
    <definedName name="cst_wskakunin_owner9_TEL">DATA!$F$192</definedName>
    <definedName name="cst_wskakunin_owner9_ZIP">DATA!$F$190</definedName>
    <definedName name="cst_wskakunin_P1_HENKOU_GAIYOU">DATA!$F$61</definedName>
    <definedName name="cst_wskakunin_P2_BIKOU">DATA!$F$843</definedName>
    <definedName name="cst_wskakunin_P3_BIKOU">DATA!$F$1192</definedName>
    <definedName name="cst_wskakunin_P3_SONOTA">DATA!$F$1190</definedName>
    <definedName name="cst_wskakunin_p4_1__kouji">DATA!$F$884</definedName>
    <definedName name="cst_wskakunin_p4_1_KAISU_TIKAI">DATA!$F$886</definedName>
    <definedName name="cst_wskakunin_p4_1_KAISU_TIKAI_NOZOKU">DATA!$F$885</definedName>
    <definedName name="cst_wskakunin_p4_1_KOUZOU1">DATA!$F$887</definedName>
    <definedName name="cst_wskakunin_p4_1_KOUZOU2">DATA!$F$888</definedName>
    <definedName name="cst_wskakunin_p4_1_TAKASA_KEN_MAX">DATA!$F$890</definedName>
    <definedName name="cst_wskakunin_p4_1_TAKASA_MAX">DATA!$F$889</definedName>
    <definedName name="cst_wskakunin_p4_1_youto1_YOUTO">DATA!$F$875</definedName>
    <definedName name="cst_wskakunin_p4_1_youto1_YOUTO_1">DATA!$F$877</definedName>
    <definedName name="cst_wskakunin_p4_1_youto1_YOUTO_2">DATA!$F$878</definedName>
    <definedName name="cst_wskakunin_p4_1_youto1_YOUTO_3">DATA!$F$879</definedName>
    <definedName name="cst_wskakunin_p4_1_youto1_YOUTO_4">DATA!$F$880</definedName>
    <definedName name="cst_wskakunin_p4_1_youto1_YOUTO_5">DATA!$F$881</definedName>
    <definedName name="cst_wskakunin_p4_1_youto1_YOUTO_6">DATA!$F$882</definedName>
    <definedName name="cst_wskakunin_p4_1_youto1_YOUTO_9">DATA!$F$883</definedName>
    <definedName name="cst_wskakunin_p4_1_youto1_YOUTO_CODE">DATA!$F$876</definedName>
    <definedName name="cst_wskakunin_p4_1_YUKA_MENSEKI_SHINSEI">DATA!$F$891</definedName>
    <definedName name="cst_wskakunin_p4_2_KAISU_TIKAI">DATA!$F$894</definedName>
    <definedName name="cst_wskakunin_p4_2_KAISU_TIKAI_NOZOKU">DATA!$F$893</definedName>
    <definedName name="cst_wskakunin_p4_2_YUKA_MENSEKI_SHINSEI">DATA!$F$895</definedName>
    <definedName name="cst_wskakunin_p4_3_KAISU_TIKAI">DATA!$F$898</definedName>
    <definedName name="cst_wskakunin_p4_3_KAISU_TIKAI_NOZOKU">DATA!$F$897</definedName>
    <definedName name="cst_wskakunin_p4_3_YUKA_MENSEKI_SHINSEI">DATA!$F$899</definedName>
    <definedName name="cst_wskakunin_PAGE1_ALTERATION_NOTE">DATA!$F$68</definedName>
    <definedName name="cst_wskakunin_SEKKEI_NAME">DATA!$F$74</definedName>
    <definedName name="cst_wskakunin_sekkei1__address">DATA!$F$299</definedName>
    <definedName name="cst_wskakunin_sekkei1__sikaku">DATA!$F$287</definedName>
    <definedName name="cst_wskakunin_sekkei1_DOC">DATA!$F$301</definedName>
    <definedName name="cst_wskakunin_sekkei1_JIMU__sikaku">DATA!$F$292</definedName>
    <definedName name="cst_wskakunin_sekkei1_JIMU_NAME">DATA!$F$296</definedName>
    <definedName name="cst_wskakunin_sekkei1_JIMU_NO">DATA!$F$295</definedName>
    <definedName name="cst_wskakunin_sekkei1_JIMU_SIKAKU">DATA!$F$293</definedName>
    <definedName name="cst_wskakunin_sekkei1_JIMU_TOUROKU_KIKAN">DATA!$F$294</definedName>
    <definedName name="cst_wskakunin_sekkei1_jimuname_name">DATA!$F$297</definedName>
    <definedName name="cst_wskakunin_sekkei1_KENTIKUSI_NO">DATA!$F$290</definedName>
    <definedName name="cst_wskakunin_sekkei1_NAME">DATA!$F$291</definedName>
    <definedName name="cst_wskakunin_sekkei1_SIKAKU">DATA!$F$288</definedName>
    <definedName name="cst_wskakunin_sekkei1_TEL">DATA!$F$300</definedName>
    <definedName name="cst_wskakunin_sekkei1_TOUROKU_KIKAN">DATA!$F$289</definedName>
    <definedName name="cst_wskakunin_sekkei1_ZIP">DATA!$F$298</definedName>
    <definedName name="cst_wskakunin_sekkei10__address">DATA!$F$452</definedName>
    <definedName name="cst_wskakunin_sekkei10__sikaku">DATA!$F$440</definedName>
    <definedName name="cst_wskakunin_sekkei10_DOC">DATA!$F$454</definedName>
    <definedName name="cst_wskakunin_sekkei10_JIMU__sikaku">DATA!$F$445</definedName>
    <definedName name="cst_wskakunin_sekkei10_JIMU_NAME">DATA!$F$449</definedName>
    <definedName name="cst_wskakunin_sekkei10_JIMU_NO">DATA!$F$448</definedName>
    <definedName name="cst_wskakunin_sekkei10_JIMU_SIKAKU">DATA!$F$446</definedName>
    <definedName name="cst_wskakunin_sekkei10_JIMU_TOUROKU_KIKAN">DATA!$F$447</definedName>
    <definedName name="cst_wskakunin_sekkei10_jimuname_name">DATA!$F$450</definedName>
    <definedName name="cst_wskakunin_sekkei10_KENTIKUSI_NO">DATA!$F$443</definedName>
    <definedName name="cst_wskakunin_sekkei10_NAME">DATA!$F$444</definedName>
    <definedName name="cst_wskakunin_sekkei10_SIKAKU">DATA!$F$441</definedName>
    <definedName name="cst_wskakunin_sekkei10_TEL">DATA!$F$453</definedName>
    <definedName name="cst_wskakunin_sekkei10_TOUROKU_KIKAN">DATA!$F$442</definedName>
    <definedName name="cst_wskakunin_sekkei10_ZIP">DATA!$F$451</definedName>
    <definedName name="cst_wskakunin_sekkei11__address">DATA!$F$469</definedName>
    <definedName name="cst_wskakunin_sekkei11__sikaku">DATA!$F$457</definedName>
    <definedName name="cst_wskakunin_sekkei11_DOC">DATA!$F$471</definedName>
    <definedName name="cst_wskakunin_sekkei11_JIMU__sikaku">DATA!$F$462</definedName>
    <definedName name="cst_wskakunin_sekkei11_JIMU_NAME">DATA!$F$466</definedName>
    <definedName name="cst_wskakunin_sekkei11_JIMU_NO">DATA!$F$465</definedName>
    <definedName name="cst_wskakunin_sekkei11_JIMU_SIKAKU">DATA!$F$463</definedName>
    <definedName name="cst_wskakunin_sekkei11_JIMU_TOUROKU_KIKAN">DATA!$F$464</definedName>
    <definedName name="cst_wskakunin_sekkei11_jimuname_name">DATA!$F$467</definedName>
    <definedName name="cst_wskakunin_sekkei11_KENTIKUSI_NO">DATA!$F$460</definedName>
    <definedName name="cst_wskakunin_sekkei11_NAME">DATA!$F$461</definedName>
    <definedName name="cst_wskakunin_sekkei11_SIKAKU">DATA!$F$458</definedName>
    <definedName name="cst_wskakunin_sekkei11_TEL">DATA!$F$470</definedName>
    <definedName name="cst_wskakunin_sekkei11_TOUROKU_KIKAN">DATA!$F$459</definedName>
    <definedName name="cst_wskakunin_sekkei11_ZIP">DATA!$F$468</definedName>
    <definedName name="cst_wskakunin_sekkei12__address">DATA!$F$486</definedName>
    <definedName name="cst_wskakunin_sekkei12__sikaku">DATA!$F$474</definedName>
    <definedName name="cst_wskakunin_sekkei12_DOC">DATA!$F$488</definedName>
    <definedName name="cst_wskakunin_sekkei12_JIMU__sikaku">DATA!$F$479</definedName>
    <definedName name="cst_wskakunin_sekkei12_JIMU_NAME">DATA!$F$483</definedName>
    <definedName name="cst_wskakunin_sekkei12_JIMU_NO">DATA!$F$482</definedName>
    <definedName name="cst_wskakunin_sekkei12_JIMU_SIKAKU">DATA!$F$480</definedName>
    <definedName name="cst_wskakunin_sekkei12_JIMU_TOUROKU_KIKAN">DATA!$F$481</definedName>
    <definedName name="cst_wskakunin_sekkei12_jimuname_name">DATA!$F$484</definedName>
    <definedName name="cst_wskakunin_sekkei12_KENTIKUSI_NO">DATA!$F$477</definedName>
    <definedName name="cst_wskakunin_sekkei12_NAME">DATA!$F$478</definedName>
    <definedName name="cst_wskakunin_sekkei12_SIKAKU">DATA!$F$475</definedName>
    <definedName name="cst_wskakunin_sekkei12_TEL">DATA!$F$487</definedName>
    <definedName name="cst_wskakunin_sekkei12_TOUROKU_KIKAN">DATA!$F$476</definedName>
    <definedName name="cst_wskakunin_sekkei12_ZIP">DATA!$F$485</definedName>
    <definedName name="cst_wskakunin_sekkei2__address">DATA!$F$316</definedName>
    <definedName name="cst_wskakunin_sekkei2__sikaku">DATA!$F$304</definedName>
    <definedName name="cst_wskakunin_sekkei2_DOC">DATA!$F$318</definedName>
    <definedName name="cst_wskakunin_sekkei2_JIMU__sikaku">DATA!$F$309</definedName>
    <definedName name="cst_wskakunin_sekkei2_JIMU_NAME">DATA!$F$313</definedName>
    <definedName name="cst_wskakunin_sekkei2_JIMU_NO">DATA!$F$312</definedName>
    <definedName name="cst_wskakunin_sekkei2_JIMU_SIKAKU">DATA!$F$310</definedName>
    <definedName name="cst_wskakunin_sekkei2_JIMU_TOUROKU_KIKAN">DATA!$F$311</definedName>
    <definedName name="cst_wskakunin_sekkei2_jimuname_name">DATA!$F$314</definedName>
    <definedName name="cst_wskakunin_sekkei2_KENTIKUSI_NO">DATA!$F$307</definedName>
    <definedName name="cst_wskakunin_sekkei2_NAME">DATA!$F$308</definedName>
    <definedName name="cst_wskakunin_sekkei2_SIKAKU">DATA!$F$305</definedName>
    <definedName name="cst_wskakunin_sekkei2_TEL">DATA!$F$317</definedName>
    <definedName name="cst_wskakunin_sekkei2_TOUROKU_KIKAN">DATA!$F$306</definedName>
    <definedName name="cst_wskakunin_sekkei2_ZIP">DATA!$F$315</definedName>
    <definedName name="cst_wskakunin_sekkei3__address">DATA!$F$333</definedName>
    <definedName name="cst_wskakunin_sekkei3__sikaku">DATA!$F$321</definedName>
    <definedName name="cst_wskakunin_sekkei3_DOC">DATA!$F$335</definedName>
    <definedName name="cst_wskakunin_sekkei3_JIMU__sikaku">DATA!$F$326</definedName>
    <definedName name="cst_wskakunin_sekkei3_JIMU_NAME">DATA!$F$330</definedName>
    <definedName name="cst_wskakunin_sekkei3_JIMU_NO">DATA!$F$329</definedName>
    <definedName name="cst_wskakunin_sekkei3_JIMU_SIKAKU">DATA!$F$327</definedName>
    <definedName name="cst_wskakunin_sekkei3_JIMU_TOUROKU_KIKAN">DATA!$F$328</definedName>
    <definedName name="cst_wskakunin_sekkei3_jimuname_name">DATA!$F$331</definedName>
    <definedName name="cst_wskakunin_sekkei3_KENTIKUSI_NO">DATA!$F$324</definedName>
    <definedName name="cst_wskakunin_sekkei3_NAME">DATA!$F$325</definedName>
    <definedName name="cst_wskakunin_sekkei3_SIKAKU">DATA!$F$322</definedName>
    <definedName name="cst_wskakunin_sekkei3_TEL">DATA!$F$334</definedName>
    <definedName name="cst_wskakunin_sekkei3_TOUROKU_KIKAN">DATA!$F$323</definedName>
    <definedName name="cst_wskakunin_sekkei3_ZIP">DATA!$F$332</definedName>
    <definedName name="cst_wskakunin_sekkei4__address">DATA!$F$350</definedName>
    <definedName name="cst_wskakunin_sekkei4__sikaku">DATA!$F$338</definedName>
    <definedName name="cst_wskakunin_sekkei4_DOC">DATA!$F$352</definedName>
    <definedName name="cst_wskakunin_sekkei4_JIMU__sikaku">DATA!$F$343</definedName>
    <definedName name="cst_wskakunin_sekkei4_JIMU_NAME">DATA!$F$347</definedName>
    <definedName name="cst_wskakunin_sekkei4_JIMU_NO">DATA!$F$346</definedName>
    <definedName name="cst_wskakunin_sekkei4_JIMU_SIKAKU">DATA!$F$344</definedName>
    <definedName name="cst_wskakunin_sekkei4_JIMU_TOUROKU_KIKAN">DATA!$F$345</definedName>
    <definedName name="cst_wskakunin_sekkei4_jimuname_name">DATA!$F$348</definedName>
    <definedName name="cst_wskakunin_sekkei4_KENTIKUSI_NO">DATA!$F$341</definedName>
    <definedName name="cst_wskakunin_sekkei4_NAME">DATA!$F$342</definedName>
    <definedName name="cst_wskakunin_sekkei4_SIKAKU">DATA!$F$339</definedName>
    <definedName name="cst_wskakunin_sekkei4_TEL">DATA!$F$351</definedName>
    <definedName name="cst_wskakunin_sekkei4_TOUROKU_KIKAN">DATA!$F$340</definedName>
    <definedName name="cst_wskakunin_sekkei4_ZIP">DATA!$F$349</definedName>
    <definedName name="cst_wskakunin_sekkei5__address">DATA!$F$367</definedName>
    <definedName name="cst_wskakunin_sekkei5__sikaku">DATA!$F$355</definedName>
    <definedName name="cst_wskakunin_sekkei5_DOC">DATA!$F$369</definedName>
    <definedName name="cst_wskakunin_sekkei5_JIMU__sikaku">DATA!$F$360</definedName>
    <definedName name="cst_wskakunin_sekkei5_JIMU_NAME">DATA!$F$364</definedName>
    <definedName name="cst_wskakunin_sekkei5_JIMU_NO">DATA!$F$363</definedName>
    <definedName name="cst_wskakunin_sekkei5_JIMU_SIKAKU">DATA!$F$361</definedName>
    <definedName name="cst_wskakunin_sekkei5_JIMU_TOUROKU_KIKAN">DATA!$F$362</definedName>
    <definedName name="cst_wskakunin_sekkei5_jimuname_name">DATA!$F$365</definedName>
    <definedName name="cst_wskakunin_sekkei5_KENTIKUSI_NO">DATA!$F$358</definedName>
    <definedName name="cst_wskakunin_sekkei5_NAME">DATA!$F$359</definedName>
    <definedName name="cst_wskakunin_sekkei5_SIKAKU">DATA!$F$356</definedName>
    <definedName name="cst_wskakunin_sekkei5_TEL">DATA!$F$368</definedName>
    <definedName name="cst_wskakunin_sekkei5_TOUROKU_KIKAN">DATA!$F$357</definedName>
    <definedName name="cst_wskakunin_sekkei5_ZIP">DATA!$F$366</definedName>
    <definedName name="cst_wskakunin_sekkei6__address">DATA!$F$384</definedName>
    <definedName name="cst_wskakunin_sekkei6__sikaku">DATA!$F$372</definedName>
    <definedName name="cst_wskakunin_sekkei6_DOC">DATA!$F$386</definedName>
    <definedName name="cst_wskakunin_sekkei6_JIMU__sikaku">DATA!$F$377</definedName>
    <definedName name="cst_wskakunin_sekkei6_JIMU_NAME">DATA!$F$381</definedName>
    <definedName name="cst_wskakunin_sekkei6_JIMU_NO">DATA!$F$380</definedName>
    <definedName name="cst_wskakunin_sekkei6_JIMU_SIKAKU">DATA!$F$378</definedName>
    <definedName name="cst_wskakunin_sekkei6_JIMU_TOUROKU_KIKAN">DATA!$F$379</definedName>
    <definedName name="cst_wskakunin_sekkei6_jimuname_name">DATA!$F$382</definedName>
    <definedName name="cst_wskakunin_sekkei6_KENTIKUSI_NO">DATA!$F$375</definedName>
    <definedName name="cst_wskakunin_sekkei6_NAME">DATA!$F$376</definedName>
    <definedName name="cst_wskakunin_sekkei6_SIKAKU">DATA!$F$373</definedName>
    <definedName name="cst_wskakunin_sekkei6_TEL">DATA!$F$385</definedName>
    <definedName name="cst_wskakunin_sekkei6_TOUROKU_KIKAN">DATA!$F$374</definedName>
    <definedName name="cst_wskakunin_sekkei6_ZIP">DATA!$F$383</definedName>
    <definedName name="cst_wskakunin_sekkei7__address">DATA!$F$401</definedName>
    <definedName name="cst_wskakunin_sekkei7__sikaku">DATA!$F$389</definedName>
    <definedName name="cst_wskakunin_sekkei7_DOC">DATA!$F$403</definedName>
    <definedName name="cst_wskakunin_sekkei7_JIMU__sikaku">DATA!$F$394</definedName>
    <definedName name="cst_wskakunin_sekkei7_JIMU_NAME">DATA!$F$398</definedName>
    <definedName name="cst_wskakunin_sekkei7_JIMU_NO">DATA!$F$397</definedName>
    <definedName name="cst_wskakunin_sekkei7_JIMU_SIKAKU">DATA!$F$395</definedName>
    <definedName name="cst_wskakunin_sekkei7_JIMU_TOUROKU_KIKAN">DATA!$F$396</definedName>
    <definedName name="cst_wskakunin_sekkei7_jimuname_name">DATA!$F$399</definedName>
    <definedName name="cst_wskakunin_sekkei7_KENTIKUSI_NO">DATA!$F$392</definedName>
    <definedName name="cst_wskakunin_sekkei7_NAME">DATA!$F$393</definedName>
    <definedName name="cst_wskakunin_sekkei7_SIKAKU">DATA!$F$390</definedName>
    <definedName name="cst_wskakunin_sekkei7_TEL">DATA!$F$402</definedName>
    <definedName name="cst_wskakunin_sekkei7_TOUROKU_KIKAN">DATA!$F$391</definedName>
    <definedName name="cst_wskakunin_sekkei7_ZIP">DATA!$F$400</definedName>
    <definedName name="cst_wskakunin_sekkei8__address">DATA!$F$418</definedName>
    <definedName name="cst_wskakunin_sekkei8__sikaku">DATA!$F$406</definedName>
    <definedName name="cst_wskakunin_sekkei8_DOC">DATA!$F$420</definedName>
    <definedName name="cst_wskakunin_sekkei8_JIMU__sikaku">DATA!$F$411</definedName>
    <definedName name="cst_wskakunin_sekkei8_JIMU_NAME">DATA!$F$415</definedName>
    <definedName name="cst_wskakunin_sekkei8_JIMU_NO">DATA!$F$414</definedName>
    <definedName name="cst_wskakunin_sekkei8_JIMU_SIKAKU">DATA!$F$412</definedName>
    <definedName name="cst_wskakunin_sekkei8_JIMU_TOUROKU_KIKAN">DATA!$F$413</definedName>
    <definedName name="cst_wskakunin_sekkei8_jimuname_name">DATA!$F$416</definedName>
    <definedName name="cst_wskakunin_sekkei8_KENTIKUSI_NO">DATA!$F$409</definedName>
    <definedName name="cst_wskakunin_sekkei8_NAME">DATA!$F$410</definedName>
    <definedName name="cst_wskakunin_sekkei8_SIKAKU">DATA!$F$407</definedName>
    <definedName name="cst_wskakunin_sekkei8_TEL">DATA!$F$419</definedName>
    <definedName name="cst_wskakunin_sekkei8_TOUROKU_KIKAN">DATA!$F$408</definedName>
    <definedName name="cst_wskakunin_sekkei8_ZIP">DATA!$F$417</definedName>
    <definedName name="cst_wskakunin_sekkei9__address">DATA!$F$435</definedName>
    <definedName name="cst_wskakunin_sekkei9__sikaku">DATA!$F$423</definedName>
    <definedName name="cst_wskakunin_sekkei9_DOC">DATA!$F$437</definedName>
    <definedName name="cst_wskakunin_sekkei9_JIMU__sikaku">DATA!$F$428</definedName>
    <definedName name="cst_wskakunin_sekkei9_JIMU_NAME">DATA!$F$432</definedName>
    <definedName name="cst_wskakunin_sekkei9_JIMU_NO">DATA!$F$431</definedName>
    <definedName name="cst_wskakunin_sekkei9_JIMU_SIKAKU">DATA!$F$429</definedName>
    <definedName name="cst_wskakunin_sekkei9_JIMU_TOUROKU_KIKAN">DATA!$F$430</definedName>
    <definedName name="cst_wskakunin_sekkei9_jimuname_name">DATA!$F$433</definedName>
    <definedName name="cst_wskakunin_sekkei9_KENTIKUSI_NO">DATA!$F$426</definedName>
    <definedName name="cst_wskakunin_sekkei9_NAME">DATA!$F$427</definedName>
    <definedName name="cst_wskakunin_sekkei9_SIKAKU">DATA!$F$424</definedName>
    <definedName name="cst_wskakunin_sekkei9_TEL">DATA!$F$436</definedName>
    <definedName name="cst_wskakunin_sekkei9_TOUROKU_KIKAN">DATA!$F$425</definedName>
    <definedName name="cst_wskakunin_sekkei9_ZIP">DATA!$F$434</definedName>
    <definedName name="cst_wskakunin_sekou1__address">DATA!$F$784</definedName>
    <definedName name="cst_wskakunin_sekou1__hajime">DATA!$F$838</definedName>
    <definedName name="cst_wskakunin_sekou1__kistar">DATA!$F$839</definedName>
    <definedName name="cst_wskakunin_sekou1_JIMU_NAME">DATA!$F$782</definedName>
    <definedName name="cst_wskakunin_sekou1_kakunin">DATA!$F$786</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ZIP">DATA!$F$783</definedName>
    <definedName name="cst_wskakunin_sekou2__address">DATA!$F$794</definedName>
    <definedName name="cst_wskakunin_sekou2_JIMU_NAME">DATA!$F$792</definedName>
    <definedName name="cst_wskakunin_sekou2_NAME">DATA!$F$788</definedName>
    <definedName name="cst_wskakunin_sekou2_SEKOU__sikaku">DATA!$F$789</definedName>
    <definedName name="cst_wskakunin_sekou2_SEKOU_NO">DATA!$F$791</definedName>
    <definedName name="cst_wskakunin_sekou2_SEKOU_SIKAKU">DATA!$F$790</definedName>
    <definedName name="cst_wskakunin_sekou2_TEL">DATA!$F$795</definedName>
    <definedName name="cst_wskakunin_sekou2_ZIP">DATA!$F$793</definedName>
    <definedName name="cst_wskakunin_sekou3__address">DATA!$F$804</definedName>
    <definedName name="cst_wskakunin_sekou3_JIMU_NAME">DATA!$F$802</definedName>
    <definedName name="cst_wskakunin_sekou3_NAME">DATA!$F$798</definedName>
    <definedName name="cst_wskakunin_sekou3_SEKOU__sikaku">DATA!$F$799</definedName>
    <definedName name="cst_wskakunin_sekou3_SEKOU_NO">DATA!$F$801</definedName>
    <definedName name="cst_wskakunin_sekou3_SEKOU_SIKAKU">DATA!$F$800</definedName>
    <definedName name="cst_wskakunin_sekou3_TEL">DATA!$F$805</definedName>
    <definedName name="cst_wskakunin_sekou3_ZIP">DATA!$F$803</definedName>
    <definedName name="cst_wskakunin_sekou4__address">DATA!$F$814</definedName>
    <definedName name="cst_wskakunin_sekou4_JIMU_NAME">DATA!$F$812</definedName>
    <definedName name="cst_wskakunin_sekou4_NAME">DATA!$F$808</definedName>
    <definedName name="cst_wskakunin_sekou4_SEKOU__sikaku">DATA!$F$809</definedName>
    <definedName name="cst_wskakunin_sekou4_SEKOU_NO">DATA!$F$811</definedName>
    <definedName name="cst_wskakunin_sekou4_SEKOU_SIKAKU">DATA!$F$810</definedName>
    <definedName name="cst_wskakunin_sekou4_TEL">DATA!$F$815</definedName>
    <definedName name="cst_wskakunin_sekou4_ZIP">DATA!$F$813</definedName>
    <definedName name="cst_wskakunin_sekou5__address">DATA!$F$824</definedName>
    <definedName name="cst_wskakunin_sekou5_JIMU_NAME">DATA!$F$822</definedName>
    <definedName name="cst_wskakunin_sekou5_NAME">DATA!$F$818</definedName>
    <definedName name="cst_wskakunin_sekou5_SEKOU__sikaku">DATA!$F$819</definedName>
    <definedName name="cst_wskakunin_sekou5_SEKOU_NO">DATA!$F$821</definedName>
    <definedName name="cst_wskakunin_sekou5_SEKOU_SIKAKU">DATA!$F$820</definedName>
    <definedName name="cst_wskakunin_sekou5_TEL">DATA!$F$825</definedName>
    <definedName name="cst_wskakunin_sekou5_ZIP">DATA!$F$823</definedName>
    <definedName name="cst_wskakunin_sekou6__address">DATA!$F$834</definedName>
    <definedName name="cst_wskakunin_sekou6_JIMU_NAME">DATA!$F$832</definedName>
    <definedName name="cst_wskakunin_sekou6_NAME">DATA!$F$828</definedName>
    <definedName name="cst_wskakunin_sekou6_SEKOU__sikaku">DATA!$F$829</definedName>
    <definedName name="cst_wskakunin_sekou6_SEKOU_NO">DATA!$F$831</definedName>
    <definedName name="cst_wskakunin_sekou6_SEKOU_SIKAKU">DATA!$F$830</definedName>
    <definedName name="cst_wskakunin_sekou6_TEL">DATA!$F$835</definedName>
    <definedName name="cst_wskakunin_sekou6_ZIP">DATA!$F$833</definedName>
    <definedName name="cst_wskakunin_SHIKITI_MENSEKI_1_TOTAL">DATA!$F$962</definedName>
    <definedName name="cst_wskakunin_SHIKITI_MENSEKI_1A">DATA!$F$938</definedName>
    <definedName name="cst_wskakunin_SHIKITI_MENSEKI_1B">DATA!$F$939</definedName>
    <definedName name="cst_wskakunin_SHIKITI_MENSEKI_1C">DATA!$F$940</definedName>
    <definedName name="cst_wskakunin_SHIKITI_MENSEKI_1D">DATA!$F$941</definedName>
    <definedName name="cst_wskakunin_SHIKITI_MENSEKI_2_TOTAL">DATA!$F$963</definedName>
    <definedName name="cst_wskakunin_SHIKITI_MENSEKI_2A">DATA!$F$942</definedName>
    <definedName name="cst_wskakunin_SHIKITI_MENSEKI_2B">DATA!$F$943</definedName>
    <definedName name="cst_wskakunin_SHIKITI_MENSEKI_2C">DATA!$F$944</definedName>
    <definedName name="cst_wskakunin_SHIKITI_MENSEKI_2D">DATA!$F$945</definedName>
    <definedName name="cst_wskakunin_SHIKITI_MENSEKI_BIKOU">DATA!$F$966</definedName>
    <definedName name="cst_wskakunin_SHINSEI_DATE">DATA!$F$53</definedName>
    <definedName name="cst_wskakunin_SHINSEI_DATE__day">DATA!$F$56</definedName>
    <definedName name="cst_wskakunin_SHINSEI_DATE__e">DATA!$F$54</definedName>
    <definedName name="cst_wskakunin_SHINSEI_DATE__month">DATA!$F$55</definedName>
    <definedName name="cst_wskakunin_TAKASA_MAX_SHINSEI">DATA!$F$1103</definedName>
    <definedName name="cst_wskakunin_TAKASA_MAX_SONOTA">DATA!$F$1104</definedName>
    <definedName name="cst_wskakunin_tekihan01_TEKIHAN_KIKAN_ADDRESS">DATA!$F$853</definedName>
    <definedName name="cst_wskakunin_tekihan01_TEKIHAN_KIKAN_info">DATA!$F$854</definedName>
    <definedName name="cst_wskakunin_tekihan01_TEKIHAN_KIKAN_KEN__ken">DATA!$F$852</definedName>
    <definedName name="cst_wskakunin_tekihan01_TEKIHAN_KIKAN_NAME">DATA!$F$851</definedName>
    <definedName name="cst_wskakunin_tekihan01_TEKIHAN_STATE_mishinsei">DATA!$F$849</definedName>
    <definedName name="cst_wskakunin_tekihan01_TEKIHAN_STATE_shinsei">DATA!$F$848</definedName>
    <definedName name="cst_wskakunin_tekihan01_TEKIHAN_STATE_shinseifuyou">DATA!$F$850</definedName>
    <definedName name="cst_wskakunin_tekihan02_TEKIHAN_KIKAN_ADDRESS">DATA!$F$857</definedName>
    <definedName name="cst_wskakunin_tekihan02_TEKIHAN_KIKAN_info">DATA!$F$858</definedName>
    <definedName name="cst_wskakunin_tekihan02_TEKIHAN_KIKAN_KEN__ken">DATA!$F$856</definedName>
    <definedName name="cst_wskakunin_tekihan02_TEKIHAN_KIKAN_NAME">DATA!$F$855</definedName>
    <definedName name="cst_wskakunin_TOKUREI_TAKASA">DATA!$F$1118</definedName>
    <definedName name="cst_wskakunin_TOKUREI_TAKASA_box_off">DATA!$F$1120</definedName>
    <definedName name="cst_wskakunin_TOKUREI_TAKASA_box_on">DATA!$F$1119</definedName>
    <definedName name="cst_wskakunin_TOKUREI_TAKASA_DOURO">DATA!$F$1123</definedName>
    <definedName name="cst_wskakunin_TOKUREI_TAKASA_KITA">DATA!$F$1125</definedName>
    <definedName name="cst_wskakunin_TOKUREI_TAKASA_RINTI">DATA!$F$1124</definedName>
    <definedName name="cst_wskakunin_TOKUREI_txt">DATA!$F$1199</definedName>
    <definedName name="cst_wskakunin_TOKUTEI_KOUJI_KANRYOU_DATE_select">DATA!$F$1215</definedName>
    <definedName name="cst_wskakunin_TOKUTEI_KOUTEI">DATA!$F$1212</definedName>
    <definedName name="cst_wskakunin_TOKUTEI_KOUTEI_inter1">DATA!$F$1213</definedName>
    <definedName name="cst_wskakunin_TOKUTEI_KOUTEI_inter2">DATA!$F$1214</definedName>
    <definedName name="cst_wskakunin_wskakunin_SONOTA_KUIKI">DATA!$F$930</definedName>
    <definedName name="cst_wskakunin_YOUSEKI_RITU">DATA!$F$1095</definedName>
    <definedName name="cst_wskakunin_YOUSEKI_RITU_A">DATA!$F$952</definedName>
    <definedName name="cst_wskakunin_YOUSEKI_RITU_B">DATA!$F$953</definedName>
    <definedName name="cst_wskakunin_YOUSEKI_RITU_C">DATA!$F$954</definedName>
    <definedName name="cst_wskakunin_YOUSEKI_RITU_D">DATA!$F$955</definedName>
    <definedName name="cst_wskakunin_YOUTO">DATA!$F$969</definedName>
    <definedName name="cst_wskakunin_YOUTO_CODE">DATA!$F$968</definedName>
    <definedName name="cst_wskakunin_YOUTO_TIIKI_A">DATA!$F$947</definedName>
    <definedName name="cst_wskakunin_YOUTO_TIIKI_B">DATA!$F$948</definedName>
    <definedName name="cst_wskakunin_YOUTO_TIIKI_C">DATA!$F$949</definedName>
    <definedName name="cst_wskakunin_YOUTO_TIIKI_D">DATA!$F$950</definedName>
    <definedName name="intFixupTable_new" localSheetId="10" hidden="1">#REF!</definedName>
    <definedName name="intFixupTable_new" hidden="1">#REF!</definedName>
    <definedName name="lastalter_shinsei_build_YOUTO">DATA!$D$1345</definedName>
    <definedName name="_xlnm.Print_Area" localSheetId="21">委任状_性能評価!$A$1:$Y$42</definedName>
    <definedName name="_xlnm.Print_Area" localSheetId="19">概要三面!$A$1:$DD$64</definedName>
    <definedName name="_xlnm.Print_Area" localSheetId="18">概要二面!$A$1:$AD$85</definedName>
    <definedName name="_xlnm.Print_Area" localSheetId="17">建築概要一面!$A$1:$AF$152</definedName>
    <definedName name="_xlnm.Print_Area" localSheetId="9">建築工事届!$A$1:$AB$126</definedName>
    <definedName name="_xlnm.Print_Area" localSheetId="10">建築工事届_2410!$A$1:$AL$168</definedName>
    <definedName name="_xlnm.Print_Area" localSheetId="11">建築主住所等変更届!$A$1:$J$44</definedName>
    <definedName name="_xlnm.Print_Area" localSheetId="16">検査申請書_第四面!$A$1:$AI$14</definedName>
    <definedName name="_xlnm.Print_Area" localSheetId="12">工事監理者報告書!$A$1:$J$37</definedName>
    <definedName name="_xlnm.Print_Area" localSheetId="13">工事施工者報告書!$A$1:$J$35</definedName>
    <definedName name="shinsei_build_p6_01_PAGE6_KOUZOU_KEISAN_KIND__002">DATA!$D$50</definedName>
    <definedName name="shinsei_build_p6_01_PAGE6_KOUZOU_KEISAN_KIND__004">DATA!$D$49</definedName>
    <definedName name="shinsei_build_p6_01_PAGE6_KOUZOU_KEISAN_KIND__005">DATA!$D$48</definedName>
    <definedName name="shinsei_build_YOUTO">DATA!$D$1344</definedName>
    <definedName name="shinsei_HIKIUKE_DATE">DATA!$D$38</definedName>
    <definedName name="shinsei_ISSUE_DATE">DATA!$D$43</definedName>
    <definedName name="shinsei_ISSUE_KOUFU_NAME">DATA!$D$45</definedName>
    <definedName name="shinsei_ISSUE_NO">DATA!$D$40</definedName>
    <definedName name="shinsei_KAKU_SUMI_NO">DATA!$D$41</definedName>
    <definedName name="shinsei_PROVO_DATE">DATA!$D$32</definedName>
    <definedName name="shinsei_PROVO_NO">DATA!$D$33</definedName>
    <definedName name="shinsei_UKETUKE_NO">DATA!$D$36</definedName>
    <definedName name="shinsei_UNIT_COUNT">DATA!$D$970</definedName>
    <definedName name="showsheetflag_cst_DATA">dSHEET!$B$8</definedName>
    <definedName name="showsheetflag_dAName">dSHEET!$B$9</definedName>
    <definedName name="showsheetflag_DATA">dSHEET!$B$6</definedName>
    <definedName name="showsheetflag_DATA_性能評価">dSHEET!$B$7</definedName>
    <definedName name="showsheetflag_dSHEET">dSHEET!$B$5</definedName>
    <definedName name="showsheetflag_dSTART">dSHEET!$B$4</definedName>
    <definedName name="showsheetflag_NoObject">dSHEET!$B$31</definedName>
    <definedName name="showsheetflag_リスト">dSHEET!$B$11</definedName>
    <definedName name="showsheetflag_委任状">dSHEET!$B$27</definedName>
    <definedName name="showsheetflag_委任状_性能評価">dSHEET!$B$28</definedName>
    <definedName name="showsheetflag_概要三面">dSHEET!$B$20</definedName>
    <definedName name="showsheetflag_概要二面">dSHEET!$B$19</definedName>
    <definedName name="showsheetflag_建築概要一面">dSHEET!$B$18</definedName>
    <definedName name="showsheetflag_建築工事届">dSHEET!$B$16</definedName>
    <definedName name="showsheetflag_建築工事届_2410">dSHEET!$B$17</definedName>
    <definedName name="showsheetflag_建築主住所等変更届">dSHEET!$B$22</definedName>
    <definedName name="showsheetflag_検査申請書_第四面">dSHEET!$B$21</definedName>
    <definedName name="showsheetflag_工事監理者報告書">dSHEET!$B$23</definedName>
    <definedName name="showsheetflag_工事施工者報告書">dSHEET!$B$24</definedName>
    <definedName name="showsheetflag_項目リスト">dSHEET!$B$10</definedName>
    <definedName name="showsheetflag_取下げ届出書">dSHEET!$B$26</definedName>
    <definedName name="showsheetflag_浄化槽変更届">dSHEET!$B$25</definedName>
    <definedName name="showsheetflag_説明">dSHEET!$B$14</definedName>
    <definedName name="showsheetflag_用途の区分">dSHEET!$B$12</definedName>
    <definedName name="wshyouka_BUILD__address">DATA_性能評価!$D$58</definedName>
    <definedName name="wshyouka_BUILD_NAME">DATA_性能評価!$D$55</definedName>
    <definedName name="wshyouka_dairi1__address">DATA_性能評価!$D$50</definedName>
    <definedName name="wshyouka_dairi1_JIMU_NAME">DATA_性能評価!$D$45</definedName>
    <definedName name="wshyouka_dairi1_JIMU_NAME_KANA">DATA_性能評価!$D$46</definedName>
    <definedName name="wshyouka_dairi1_NAME">DATA_性能評価!$D$43</definedName>
    <definedName name="wshyouka_dairi1_NAME_KANA">DATA_性能評価!$D$44</definedName>
    <definedName name="wshyouka_dairi1_POST">DATA_性能評価!$D$47</definedName>
    <definedName name="wshyouka_dairi1_POST_KANA">DATA_性能評価!$D$48</definedName>
    <definedName name="wshyouka_dairi1_TEL">DATA_性能評価!$D$51</definedName>
    <definedName name="wshyouka_dairi1_ZIP">DATA_性能評価!$D$49</definedName>
    <definedName name="wshyouka_owner1__address">DATA_性能評価!$D$23</definedName>
    <definedName name="wshyouka_owner1_JIMU_NAME">DATA_性能評価!$D$15</definedName>
    <definedName name="wshyouka_owner1_JIMU_NAME_KANA">DATA_性能評価!$D$16</definedName>
    <definedName name="wshyouka_owner1_NAME">DATA_性能評価!$D$13</definedName>
    <definedName name="wshyouka_owner1_NAME_KANA">DATA_性能評価!$D$14</definedName>
    <definedName name="wshyouka_owner1_POST">DATA_性能評価!$D$17</definedName>
    <definedName name="wshyouka_owner1_POST_KANA">DATA_性能評価!$D$18</definedName>
    <definedName name="wshyouka_owner1_TEL">DATA_性能評価!$D$24</definedName>
    <definedName name="wshyouka_owner1_ZIP">DATA_性能評価!$D$22</definedName>
    <definedName name="wshyouka_owner2__address">DATA_性能評価!$D$38</definedName>
    <definedName name="wshyouka_owner2_JIMU_NAME">DATA_性能評価!$D$30</definedName>
    <definedName name="wshyouka_owner2_JIMU_NAME_KANA">DATA_性能評価!$D$31</definedName>
    <definedName name="wshyouka_owner2_NAME">DATA_性能評価!$D$28</definedName>
    <definedName name="wshyouka_owner2_NAME_KANA">DATA_性能評価!$D$29</definedName>
    <definedName name="wshyouka_owner2_POST">DATA_性能評価!$D$32</definedName>
    <definedName name="wshyouka_owner2_POST_KANA">DATA_性能評価!$D$33</definedName>
    <definedName name="wshyouka_owner2_TEL">DATA_性能評価!$D$39</definedName>
    <definedName name="wshyouka_owner2_ZIP">DATA_性能評価!$D$37</definedName>
    <definedName name="wshyouka_SHINSEI_DATE">DATA_性能評価!$D$10</definedName>
    <definedName name="wsjob_JOB_KIND">DATA!$D$17</definedName>
    <definedName name="wsjob_JOB_SET_KIND">DATA!$D$12</definedName>
    <definedName name="wsjob_TARGET_KIND">DATA!$D$13</definedName>
    <definedName name="wsjob_TARGET_KIND__label">DATA!$D$11</definedName>
    <definedName name="wskakunin__bouka">DATA!$D$924</definedName>
    <definedName name="wskakunin__kouji">DATA!$D$972</definedName>
    <definedName name="wskakunin__kuiki">DATA!$D$915</definedName>
    <definedName name="wskakunin__tosi_kuiki">DATA!$D$918</definedName>
    <definedName name="wskakunin_20kouzou101_KOUZOUSEKKEI_KOUFU_NO">DATA!$D$493</definedName>
    <definedName name="wskakunin_20kouzou101_NAME">DATA!$D$492</definedName>
    <definedName name="wskakunin_20kouzou102_KOUZOUSEKKEI_KOUFU_NO">DATA!$D$495</definedName>
    <definedName name="wskakunin_20kouzou102_NAME">DATA!$D$494</definedName>
    <definedName name="wskakunin_20kouzou103_KOUZOUSEKKEI_KOUFU_NO">DATA!$D$497</definedName>
    <definedName name="wskakunin_20kouzou103_NAME">DATA!$D$496</definedName>
    <definedName name="wskakunin_20kouzou104_KOUZOUSEKKEI_KOUFU_NO">DATA!$D$499</definedName>
    <definedName name="wskakunin_20kouzou104_NAME">DATA!$D$498</definedName>
    <definedName name="wskakunin_20kouzou105_KOUZOUSEKKEI_KOUFU_NO">DATA!$D$501</definedName>
    <definedName name="wskakunin_20kouzou105_NAME">DATA!$D$500</definedName>
    <definedName name="wskakunin_20kouzou301_KOUZOUSEKKEI_KOUFU_NO">DATA!$D$505</definedName>
    <definedName name="wskakunin_20kouzou301_NAME">DATA!$D$504</definedName>
    <definedName name="wskakunin_20kouzou302_KOUZOUSEKKEI_KOUFU_NO">DATA!$D$507</definedName>
    <definedName name="wskakunin_20kouzou302_NAME">DATA!$D$506</definedName>
    <definedName name="wskakunin_20kouzou303_KOUZOUSEKKEI_KOUFU_NO">DATA!$D$509</definedName>
    <definedName name="wskakunin_20kouzou303_NAME">DATA!$D$508</definedName>
    <definedName name="wskakunin_20kouzou304_KOUZOUSEKKEI_KOUFU_NO">DATA!$D$511</definedName>
    <definedName name="wskakunin_20kouzou304_NAME">DATA!$D$510</definedName>
    <definedName name="wskakunin_20kouzou305_KOUZOUSEKKEI_KOUFU_NO">DATA!$D$513</definedName>
    <definedName name="wskakunin_20kouzou305_NAME">DATA!$D$512</definedName>
    <definedName name="wskakunin_20setubi101_NAME">DATA!$D$516</definedName>
    <definedName name="wskakunin_20setubi101_SETUBISEKKEI_KOUFU_NO">DATA!$D$517</definedName>
    <definedName name="wskakunin_20setubi102_NAME">DATA!$D$518</definedName>
    <definedName name="wskakunin_20setubi102_SETUBISEKKEI_KOUFU_NO">DATA!$D$519</definedName>
    <definedName name="wskakunin_20setubi103_NAME">DATA!$D$520</definedName>
    <definedName name="wskakunin_20setubi103_SETUBISEKKEI_KOUFU_NO">DATA!$D$521</definedName>
    <definedName name="wskakunin_20setubi104_NAME">DATA!$D$522</definedName>
    <definedName name="wskakunin_20setubi104_SETUBISEKKEI_KOUFU_NO">DATA!$D$523</definedName>
    <definedName name="wskakunin_20setubi105_NAME">DATA!$D$524</definedName>
    <definedName name="wskakunin_20setubi105_SETUBISEKKEI_KOUFU_NO">DATA!$D$525</definedName>
    <definedName name="wskakunin_20setubi301_NAME">DATA!$D$528</definedName>
    <definedName name="wskakunin_20setubi301_SETUBISEKKEI_KOUFU_NO">DATA!$D$529</definedName>
    <definedName name="wskakunin_20setubi302_NAME">DATA!$D$530</definedName>
    <definedName name="wskakunin_20setubi302_SETUBISEKKEI_KOUFU_NO">DATA!$D$531</definedName>
    <definedName name="wskakunin_20setubi303_NAME">DATA!$D$532</definedName>
    <definedName name="wskakunin_20setubi303_SETUBISEKKEI_KOUFU_NO">DATA!$D$533</definedName>
    <definedName name="wskakunin_20setubi304_NAME">DATA!$D$534</definedName>
    <definedName name="wskakunin_20setubi304_SETUBISEKKEI_KOUFU_NO">DATA!$D$535</definedName>
    <definedName name="wskakunin_20setubi305_NAME">DATA!$D$536</definedName>
    <definedName name="wskakunin_20setubi305_SETUBISEKKEI_KOUFU_NO">DATA!$D$537</definedName>
    <definedName name="wskakunin_APPLICANT_NAME">DATA!$D$71</definedName>
    <definedName name="wskakunin_BOUKA_22JYO">DATA!$D$928</definedName>
    <definedName name="wskakunin_BOUKA_BOUKA">DATA!$D$925</definedName>
    <definedName name="wskakunin_BOUKA_JYUN_BOUKA">DATA!$D$926</definedName>
    <definedName name="wskakunin_BOUKA_NASI">DATA!$D$927</definedName>
    <definedName name="wskakunin_BOUKA_SETUBI_FLAG">DATA!$D$1186</definedName>
    <definedName name="wskakunin_BUILD__address">DATA!$D$904</definedName>
    <definedName name="wskakunin_BUILD_ADDRESS">DATA!$D$906</definedName>
    <definedName name="wskakunin_BUILD_JYUKYO__address">DATA!$D$909</definedName>
    <definedName name="wskakunin_BUILD_JYUKYO_ADDRESS">DATA!$D$911</definedName>
    <definedName name="wskakunin_BUILD_JYUKYO_KEN__ken">DATA!$D$910</definedName>
    <definedName name="wskakunin_BUILD_KEN__ken">DATA!$D$905</definedName>
    <definedName name="wskakunin_BUILD_NAME">DATA!$D$841</definedName>
    <definedName name="wskakunin_BUILD_NAME_KANA">DATA!$D$842</definedName>
    <definedName name="wskakunin_BUILD_SHINSEI_COUNT">DATA!$D$1098</definedName>
    <definedName name="wskakunin_BUILD_SONOTA_COUNT">DATA!$D$1099</definedName>
    <definedName name="wskakunin_dairi1__address">DATA!$D$207</definedName>
    <definedName name="wskakunin_dairi1__sikaku">DATA!$D$195</definedName>
    <definedName name="wskakunin_dairi1_FAX">DATA!$D$209</definedName>
    <definedName name="wskakunin_dairi1_JIMU__sikaku">DATA!$D$201</definedName>
    <definedName name="wskakunin_dairi1_JIMU_NAME">DATA!$D$205</definedName>
    <definedName name="wskakunin_dairi1_JIMU_NO">DATA!$D$204</definedName>
    <definedName name="wskakunin_dairi1_JIMU_SIKAKU__label">DATA!$D$202</definedName>
    <definedName name="wskakunin_dairi1_JIMU_TOUROKU_KIKAN__label">DATA!$D$203</definedName>
    <definedName name="wskakunin_dairi1_KENTIKUSI_NO">DATA!$D$198</definedName>
    <definedName name="wskakunin_dairi1_NAME">DATA!$D$199</definedName>
    <definedName name="wskakunin_dairi1_NAME_KANA">DATA!$D$200</definedName>
    <definedName name="wskakunin_dairi1_SIKAKU__label">DATA!$D$196</definedName>
    <definedName name="wskakunin_dairi1_TEL">DATA!$D$208</definedName>
    <definedName name="wskakunin_dairi1_TOUROKU_KIKAN__label">DATA!$D$197</definedName>
    <definedName name="wskakunin_dairi1_ZIP">DATA!$D$206</definedName>
    <definedName name="wskakunin_dairi2__address">DATA!$D$227</definedName>
    <definedName name="wskakunin_dairi2__sikaku">DATA!$D$215</definedName>
    <definedName name="wskakunin_dairi2_FAX">DATA!$D$229</definedName>
    <definedName name="wskakunin_dairi2_JIMU__sikaku">DATA!$D$221</definedName>
    <definedName name="wskakunin_dairi2_JIMU_NAME">DATA!$D$225</definedName>
    <definedName name="wskakunin_dairi2_JIMU_NO">DATA!$D$224</definedName>
    <definedName name="wskakunin_dairi2_JIMU_SIKAKU__label">DATA!$D$222</definedName>
    <definedName name="wskakunin_dairi2_JIMU_TOUROKU_KIKAN__label">DATA!$D$223</definedName>
    <definedName name="wskakunin_dairi2_KENTIKUSI_NO">DATA!$D$218</definedName>
    <definedName name="wskakunin_dairi2_NAME">DATA!$D$219</definedName>
    <definedName name="wskakunin_dairi2_NAME_KANA">DATA!$D$220</definedName>
    <definedName name="wskakunin_dairi2_SIKAKU__label">DATA!$D$216</definedName>
    <definedName name="wskakunin_dairi2_TEL">DATA!$D$228</definedName>
    <definedName name="wskakunin_dairi2_TOUROKU_KIKAN__label">DATA!$D$217</definedName>
    <definedName name="wskakunin_dairi2_ZIP">DATA!$D$226</definedName>
    <definedName name="wskakunin_dairi3__address">DATA!$D$245</definedName>
    <definedName name="wskakunin_dairi3__sikaku">DATA!$D$233</definedName>
    <definedName name="wskakunin_dairi3_FAX">DATA!$D$247</definedName>
    <definedName name="wskakunin_dairi3_JIMU__sikaku">DATA!$D$239</definedName>
    <definedName name="wskakunin_dairi3_JIMU_NAME">DATA!$D$243</definedName>
    <definedName name="wskakunin_dairi3_JIMU_NO">DATA!$D$242</definedName>
    <definedName name="wskakunin_dairi3_JIMU_SIKAKU__label">DATA!$D$240</definedName>
    <definedName name="wskakunin_dairi3_JIMU_TOUROKU_KIKAN__label">DATA!$D$241</definedName>
    <definedName name="wskakunin_dairi3_KENTIKUSI_NO">DATA!$D$236</definedName>
    <definedName name="wskakunin_dairi3_NAME">DATA!$D$237</definedName>
    <definedName name="wskakunin_dairi3_NAME_KANA">DATA!$D$238</definedName>
    <definedName name="wskakunin_dairi3_SIKAKU__label">DATA!$D$234</definedName>
    <definedName name="wskakunin_dairi3_TEL">DATA!$D$246</definedName>
    <definedName name="wskakunin_dairi3_TOUROKU_KIKAN__label">DATA!$D$235</definedName>
    <definedName name="wskakunin_dairi3_ZIP">DATA!$D$244</definedName>
    <definedName name="wskakunin_dairi4__address">DATA!$D$263</definedName>
    <definedName name="wskakunin_dairi4__sikaku">DATA!$D$251</definedName>
    <definedName name="wskakunin_dairi4_FAX">DATA!$D$265</definedName>
    <definedName name="wskakunin_dairi4_JIMU__sikaku">DATA!$D$257</definedName>
    <definedName name="wskakunin_dairi4_JIMU_NAME">DATA!$D$261</definedName>
    <definedName name="wskakunin_dairi4_JIMU_NO">DATA!$D$260</definedName>
    <definedName name="wskakunin_dairi4_JIMU_SIKAKU__label">DATA!$D$258</definedName>
    <definedName name="wskakunin_dairi4_JIMU_TOUROKU_KIKAN__label">DATA!$D$259</definedName>
    <definedName name="wskakunin_dairi4_KENTIKUSI_NO">DATA!$D$254</definedName>
    <definedName name="wskakunin_dairi4_NAME">DATA!$D$255</definedName>
    <definedName name="wskakunin_dairi4_NAME_KANA">DATA!$D$256</definedName>
    <definedName name="wskakunin_dairi4_SIKAKU__label">DATA!$D$252</definedName>
    <definedName name="wskakunin_dairi4_TEL">DATA!$D$264</definedName>
    <definedName name="wskakunin_dairi4_TOUROKU_KIKAN__label">DATA!$D$253</definedName>
    <definedName name="wskakunin_dairi4_ZIP">DATA!$D$262</definedName>
    <definedName name="wskakunin_dairi5__address">DATA!$D$281</definedName>
    <definedName name="wskakunin_dairi5__sikaku">DATA!$D$269</definedName>
    <definedName name="wskakunin_dairi5_FAX">DATA!$D$283</definedName>
    <definedName name="wskakunin_dairi5_JIMU__sikaku">DATA!$D$275</definedName>
    <definedName name="wskakunin_dairi5_JIMU_NAME">DATA!$D$279</definedName>
    <definedName name="wskakunin_dairi5_JIMU_NO">DATA!$D$278</definedName>
    <definedName name="wskakunin_dairi5_JIMU_SIKAKU__label">DATA!$D$276</definedName>
    <definedName name="wskakunin_dairi5_JIMU_TOUROKU_KIKAN__label">DATA!$D$277</definedName>
    <definedName name="wskakunin_dairi5_KENTIKUSI_NO">DATA!$D$272</definedName>
    <definedName name="wskakunin_dairi5_NAME">DATA!$D$273</definedName>
    <definedName name="wskakunin_dairi5_NAME_KANA">DATA!$D$274</definedName>
    <definedName name="wskakunin_dairi5_SIKAKU__label">DATA!$D$270</definedName>
    <definedName name="wskakunin_dairi5_TEL">DATA!$D$282</definedName>
    <definedName name="wskakunin_dairi5_TOUROKU_KIKAN__label">DATA!$D$271</definedName>
    <definedName name="wskakunin_dairi5_ZIP">DATA!$D$280</definedName>
    <definedName name="wskakunin_DOURO_FUKUIN">DATA!$D$933</definedName>
    <definedName name="wskakunin_DOURO_NAGASA">DATA!$D$934</definedName>
    <definedName name="wskakunin_ecotekihan01_FUYOU_CAUSE">DATA!$D$871</definedName>
    <definedName name="wskakunin_ecotekihan01_TEKIHAN_KIKAN_ADDRESS">DATA!$D$867</definedName>
    <definedName name="wskakunin_ecotekihan01_TEKIHAN_KIKAN_KEN__ken">DATA!$D$866</definedName>
    <definedName name="wskakunin_ecotekihan01_TEKIHAN_KIKAN_NAME">DATA!$D$865</definedName>
    <definedName name="wskakunin_ecotekihan01_TEKIHAN_STATE">DATA!$D$861</definedName>
    <definedName name="wskakunin_gaiyou1_EV_KIND">DATA!$D$1002</definedName>
    <definedName name="wskakunin_gaiyou1_KOUJI_KAITIKU">DATA!$D$989</definedName>
    <definedName name="wskakunin_gaiyou1_KOUJI_SINTIKU">DATA!$D$987</definedName>
    <definedName name="wskakunin_gaiyou1_KOUJI_SONOTA">DATA!$D$990</definedName>
    <definedName name="wskakunin_gaiyou1_KOUJI_SONOTA_TEXT">DATA!$D$991</definedName>
    <definedName name="wskakunin_gaiyou1_KOUJI_ZOUTIKU">DATA!$D$988</definedName>
    <definedName name="wskakunin_gaiyou1_KOUZOU">DATA!$D$986</definedName>
    <definedName name="wskakunin_gaiyou1_NINSYOU_NO">DATA!$D$1008</definedName>
    <definedName name="wskakunin_gaiyou1_NO">DATA!$D$1001</definedName>
    <definedName name="wskakunin_gaiyou1_SEKISAI">DATA!$D$1004</definedName>
    <definedName name="wskakunin_gaiyou1_SONOTA">DATA!$D$1007</definedName>
    <definedName name="wskakunin_gaiyou1_SONOTA_and_NINSYOU_NO">DATA!$D$1009</definedName>
    <definedName name="wskakunin_gaiyou1_SPEED">DATA!$D$1006</definedName>
    <definedName name="wskakunin_gaiyou1_TAKASA">DATA!$D$985</definedName>
    <definedName name="wskakunin_gaiyou1_TEIIN">DATA!$D$1005</definedName>
    <definedName name="wskakunin_gaiyou1_TIKUZOU_MENSEKI_IGAI">DATA!$D$994</definedName>
    <definedName name="wskakunin_gaiyou1_TIKUZOU_MENSEKI_SHINSEI">DATA!$D$993</definedName>
    <definedName name="wskakunin_gaiyou1_TIKUZOU_MENSEKI_TOTAL">DATA!$D$995</definedName>
    <definedName name="wskakunin_gaiyou1_WORK_COUNT_IGAI">DATA!$D$997</definedName>
    <definedName name="wskakunin_gaiyou1_WORK_COUNT_SHINSEI">DATA!$D$996</definedName>
    <definedName name="wskakunin_gaiyou1_WORK_COUNT_TOTAL">DATA!$D$998</definedName>
    <definedName name="wskakunin_gaiyou1_WORK_SYURUI">DATA!$D$984</definedName>
    <definedName name="wskakunin_gaiyou1_WORK_SYURUI_CODE">DATA!$D$983</definedName>
    <definedName name="wskakunin_gaiyou1_YOUTO">DATA!$D$1003</definedName>
    <definedName name="wskakunin_iken1__address">DATA!$D$544</definedName>
    <definedName name="wskakunin_iken1_DOC">DATA!$D$547</definedName>
    <definedName name="wskakunin_iken1_IKEN_NO">DATA!$D$546</definedName>
    <definedName name="wskakunin_iken1_JIMU_NAME">DATA!$D$542</definedName>
    <definedName name="wskakunin_iken1_NAME">DATA!$D$541</definedName>
    <definedName name="wskakunin_iken1_TEL">DATA!$D$545</definedName>
    <definedName name="wskakunin_iken1_ZIP">DATA!$D$543</definedName>
    <definedName name="wskakunin_iken2__address">DATA!$D$553</definedName>
    <definedName name="wskakunin_iken2_DOC">DATA!$D$556</definedName>
    <definedName name="wskakunin_iken2_IKEN_NO">DATA!$D$555</definedName>
    <definedName name="wskakunin_iken2_JIMU_NAME">DATA!$D$551</definedName>
    <definedName name="wskakunin_iken2_NAME">DATA!$D$550</definedName>
    <definedName name="wskakunin_iken2_TEL">DATA!$D$554</definedName>
    <definedName name="wskakunin_iken2_ZIP">DATA!$D$552</definedName>
    <definedName name="wskakunin_iken3__address">DATA!$D$562</definedName>
    <definedName name="wskakunin_iken3_DOC">DATA!$D$565</definedName>
    <definedName name="wskakunin_iken3_IKEN_NO">DATA!$D$564</definedName>
    <definedName name="wskakunin_iken3_JIMU_NAME">DATA!$D$560</definedName>
    <definedName name="wskakunin_iken3_NAME">DATA!$D$559</definedName>
    <definedName name="wskakunin_iken3_TEL">DATA!$D$563</definedName>
    <definedName name="wskakunin_iken3_ZIP">DATA!$D$561</definedName>
    <definedName name="wskakunin_iken4__address">DATA!$D$571</definedName>
    <definedName name="wskakunin_iken4_DOC">DATA!$D$574</definedName>
    <definedName name="wskakunin_iken4_IKEN_NO">DATA!$D$573</definedName>
    <definedName name="wskakunin_iken4_JIMU_NAME">DATA!$D$569</definedName>
    <definedName name="wskakunin_iken4_NAME">DATA!$D$568</definedName>
    <definedName name="wskakunin_iken4_TEL">DATA!$D$572</definedName>
    <definedName name="wskakunin_iken4_ZIP">DATA!$D$570</definedName>
    <definedName name="wskakunin_iken5__address">DATA!$D$579</definedName>
    <definedName name="wskakunin_iken5_DOC">DATA!$D$582</definedName>
    <definedName name="wskakunin_iken5_IKEN_NO">DATA!$D$581</definedName>
    <definedName name="wskakunin_iken5_JIMU_NAME">DATA!$D$577</definedName>
    <definedName name="wskakunin_iken5_NAME">DATA!$D$576</definedName>
    <definedName name="wskakunin_iken5_TEL">DATA!$D$580</definedName>
    <definedName name="wskakunin_iken5_ZIP">DATA!$D$578</definedName>
    <definedName name="wskakunin_KAISU_TIJYOU_SHINSEI">DATA!$D$1106</definedName>
    <definedName name="wskakunin_KAISU_TIJYOU_SONOTA">DATA!$D$1107</definedName>
    <definedName name="wskakunin_KAISU_TIKA_SHINSEI__zero">DATA!$D$1109</definedName>
    <definedName name="wskakunin_KAISU_TIKA_SONOTA">DATA!$D$1110</definedName>
    <definedName name="wskakunin_KANRI_NAME">DATA!$D$77</definedName>
    <definedName name="wskakunin_kanri1__address">DATA!$D$597</definedName>
    <definedName name="wskakunin_kanri1__sikaku">DATA!$D$585</definedName>
    <definedName name="wskakunin_kanri1_DOC">DATA!$D$599</definedName>
    <definedName name="wskakunin_kanri1_JIMU__sikaku">DATA!$D$590</definedName>
    <definedName name="wskakunin_kanri1_JIMU_NAME">DATA!$D$594</definedName>
    <definedName name="wskakunin_kanri1_JIMU_NO">DATA!$D$593</definedName>
    <definedName name="wskakunin_kanri1_JIMU_SIKAKU__label">DATA!$D$591</definedName>
    <definedName name="wskakunin_kanri1_JIMU_TOUROKU_KIKAN__label">DATA!$D$592</definedName>
    <definedName name="wskakunin_kanri1_KENTIKUSI_NO">DATA!$D$588</definedName>
    <definedName name="wskakunin_kanri1_NAME">DATA!$D$589</definedName>
    <definedName name="wskakunin_kanri1_SIKAKU__label">DATA!$D$586</definedName>
    <definedName name="wskakunin_kanri1_TEL">DATA!$D$598</definedName>
    <definedName name="wskakunin_kanri1_TOUROKU_KIKAN__label">DATA!$D$587</definedName>
    <definedName name="wskakunin_kanri1_ZIP">DATA!$D$595</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DATA!$D$1309</definedName>
    <definedName name="wskakunin_keibi_henkou01_HENKOU_SYURUI">DATA!$D$1308</definedName>
    <definedName name="wskakunin_KENPEI_RITU">DATA!$D$1018</definedName>
    <definedName name="wskakunin_KENPEI_RITU_A">DATA!$D$957</definedName>
    <definedName name="wskakunin_KENPEI_RITU_B">DATA!$D$958</definedName>
    <definedName name="wskakunin_KENPEI_RITU_C">DATA!$D$959</definedName>
    <definedName name="wskakunin_KENPEI_RITU_D">DATA!$D$960</definedName>
    <definedName name="wskakunin_KENSA_YUKA_MENSEKI">DATA!$D$1217</definedName>
    <definedName name="wskakunin_KENTIKU_MENSEKI_IGAI">DATA!$D$1016</definedName>
    <definedName name="wskakunin_KENTIKU_MENSEKI_SHINSEI">DATA!$D$1015</definedName>
    <definedName name="wskakunin_KENTIKU_MENSEKI_TOTAL">DATA!$D$1017</definedName>
    <definedName name="wskakunin_KENTIKU_MENSEKI_ZENTAI_IGAI">DATA!$D$1013</definedName>
    <definedName name="wskakunin_KENTIKU_MENSEKI_ZENTAI_SHINSEI">DATA!$D$1012</definedName>
    <definedName name="wskakunin_KENTIKU_MENSEKI_ZENTAI_TOTAL">DATA!$D$1014</definedName>
    <definedName name="wskakunin_KENTIKU_NINSYO_NO">DATA!$D$1205</definedName>
    <definedName name="wskakunin_KIKAN_NAME">DATA!$D$51</definedName>
    <definedName name="wskakunin_KITEI_CHOUSA_FLAG">DATA!$D$1183</definedName>
    <definedName name="wskakunin_KOUJI_DAI_MOYOUGAE">DATA!$D$979</definedName>
    <definedName name="wskakunin_KOUJI_DAI_SYUUZEN">DATA!$D$978</definedName>
    <definedName name="wskakunin_KOUJI_ITEN">DATA!$D$976</definedName>
    <definedName name="wskakunin_KOUJI_KAITIKU">DATA!$D$975</definedName>
    <definedName name="wskakunin_KOUJI_KANRYOU_DATE">DATA!$D$1312</definedName>
    <definedName name="wskakunin_KOUJI_KANRYOU_YOTEI_DATE">DATA!$D$1156</definedName>
    <definedName name="wskakunin_KOUJI_SINTIKU">DATA!$D$973</definedName>
    <definedName name="wskakunin_KOUJI_TYAKUSYU_DATE">DATA!$D$1207</definedName>
    <definedName name="wskakunin_KOUJI_TYAKUSYU_YOTEI_DATE">DATA!$D$1154</definedName>
    <definedName name="wskakunin_KOUJI_YOUTOHENKOU">DATA!$D$977</definedName>
    <definedName name="wskakunin_KOUJI_ZOUTIKU">DATA!$D$974</definedName>
    <definedName name="wskakunin_koutei_ikou01_KOUTEI_DATE">DATA!$D$1280</definedName>
    <definedName name="wskakunin_koutei_ikou01_KOUTEI_KAISUU">DATA!$D$1278</definedName>
    <definedName name="wskakunin_koutei_ikou01_KOUTEI_TEXT">DATA!$D$1279</definedName>
    <definedName name="wskakunin_koutei_ikou02_KOUTEI_DATE">DATA!$D$1285</definedName>
    <definedName name="wskakunin_koutei_ikou02_KOUTEI_KAISUU">DATA!$D$1283</definedName>
    <definedName name="wskakunin_koutei_ikou02_KOUTEI_TEXT">DATA!$D$1284</definedName>
    <definedName name="wskakunin_koutei_izen01_INTER_ISSUE_DATE">DATA!$D$1225</definedName>
    <definedName name="wskakunin_koutei_izen01_INTER_ISSUE_NAME">DATA!$D$1223</definedName>
    <definedName name="wskakunin_koutei_izen01_INTER_ISSUE_NO">DATA!$D$1224</definedName>
    <definedName name="wskakunin_koutei_izen01_KOUTEI_KAISUU">DATA!$D$1221</definedName>
    <definedName name="wskakunin_koutei_izen01_KOUTEI_TEXT">DATA!$D$1222</definedName>
    <definedName name="wskakunin_koutei_izen02_INTER_ISSUE_DATE">DATA!$D$1232</definedName>
    <definedName name="wskakunin_koutei_izen02_INTER_ISSUE_NAME">DATA!$D$1230</definedName>
    <definedName name="wskakunin_koutei_izen02_INTER_ISSUE_NO">DATA!$D$1231</definedName>
    <definedName name="wskakunin_koutei_izen02_KOUTEI_KAISUU">DATA!$D$1228</definedName>
    <definedName name="wskakunin_koutei_izen02_KOUTEI_TEXT">DATA!$D$1229</definedName>
    <definedName name="wskakunin_koutei_izen03_INTER_ISSUE_DATE">DATA!$D$1239</definedName>
    <definedName name="wskakunin_koutei_izen03_INTER_ISSUE_NAME">DATA!$D$1237</definedName>
    <definedName name="wskakunin_koutei_izen03_INTER_ISSUE_NO">DATA!$D$1238</definedName>
    <definedName name="wskakunin_koutei_izen03_KOUTEI_KAISUU">DATA!$D$1235</definedName>
    <definedName name="wskakunin_koutei_izen03_KOUTEI_TEXT">DATA!$D$1236</definedName>
    <definedName name="wskakunin_koutei_izen04_INTER_ISSUE_DATE">DATA!$D$1246</definedName>
    <definedName name="wskakunin_koutei_izen04_INTER_ISSUE_NAME">DATA!$D$1244</definedName>
    <definedName name="wskakunin_koutei_izen04_INTER_ISSUE_NO">DATA!$D$1245</definedName>
    <definedName name="wskakunin_koutei_izen04_KOUTEI_KAISUU">DATA!$D$1242</definedName>
    <definedName name="wskakunin_koutei_izen04_KOUTEI_TEXT">DATA!$D$1243</definedName>
    <definedName name="wskakunin_koutei01_INTER_ISSUE_DATE">DATA!$D$1319</definedName>
    <definedName name="wskakunin_koutei01_INTER_ISSUE_NAME">DATA!$D$1317</definedName>
    <definedName name="wskakunin_koutei01_INTER_ISSUE_NO">DATA!$D$1318</definedName>
    <definedName name="wskakunin_koutei01_KOUTEI_DATE">DATA!$D$1165</definedName>
    <definedName name="wskakunin_koutei01_KOUTEI_KAISUU">DATA!$D$1164</definedName>
    <definedName name="wskakunin_koutei01_KOUTEI_TEXT">DATA!$D$1166</definedName>
    <definedName name="wskakunin_koutei02_INTER_ISSUE_DATE">DATA!$D$1333</definedName>
    <definedName name="wskakunin_koutei02_INTER_ISSUE_NAME">DATA!$D$1331</definedName>
    <definedName name="wskakunin_koutei02_INTER_ISSUE_NO">DATA!$D$1332</definedName>
    <definedName name="wskakunin_koutei02_KOUTEI_DATE">DATA!$D$1170</definedName>
    <definedName name="wskakunin_koutei02_KOUTEI_KAISUU">DATA!$D$1169</definedName>
    <definedName name="wskakunin_koutei02_KOUTEI_TEXT">DATA!$D$1171</definedName>
    <definedName name="wskakunin_koutei03_KOUTEI_DATE">DATA!$D$1175</definedName>
    <definedName name="wskakunin_koutei03_KOUTEI_KAISUU">DATA!$D$1174</definedName>
    <definedName name="wskakunin_koutei03_KOUTEI_TEXT">DATA!$D$1176</definedName>
    <definedName name="wskakunin_koutei04_KOUTEI_DATE">DATA!$D$1180</definedName>
    <definedName name="wskakunin_koutei04_KOUTEI_KAISUU">DATA!$D$1179</definedName>
    <definedName name="wskakunin_koutei04_KOUTEI_TEXT">DATA!$D$1181</definedName>
    <definedName name="wskakunin_KOUZOU1">DATA!$D$1112</definedName>
    <definedName name="wskakunin_KOUZOU2">DATA!$D$1113</definedName>
    <definedName name="wskakunin_KUIKI_HISETTEI">DATA!$D$920</definedName>
    <definedName name="wskakunin_KUIKI_JYUN_TOSHI">DATA!$D$921</definedName>
    <definedName name="wskakunin_KUIKI_KUIKIGAI">DATA!$D$922</definedName>
    <definedName name="wskakunin_KUIKI_SIGAIKA">DATA!$D$917</definedName>
    <definedName name="wskakunin_KUIKI_TOSI">DATA!$D$914</definedName>
    <definedName name="wskakunin_KUIKI_TYOSEI">DATA!$D$919</definedName>
    <definedName name="wskakunin_kyoka01_">DATA!$D$1128</definedName>
    <definedName name="wskakunin_kyoka01_BIKOU">DATA!$D$1133</definedName>
    <definedName name="wskakunin_kyoka01_HOUREI">DATA!$D$1129</definedName>
    <definedName name="wskakunin_kyoka01_JOUKOU">DATA!$D$1130</definedName>
    <definedName name="wskakunin_kyoka01_KYOKA_DATE">DATA!$D$1132</definedName>
    <definedName name="wskakunin_kyoka01_KYOKA_NO">DATA!$D$1131</definedName>
    <definedName name="wskakunin_kyoka02_BIKOU">DATA!$D$1141</definedName>
    <definedName name="wskakunin_kyoka02_HOUREI">DATA!$D$1137</definedName>
    <definedName name="wskakunin_kyoka02_JOUKOU">DATA!$D$1138</definedName>
    <definedName name="wskakunin_kyoka02_KYOKA_DATE">DATA!$D$1140</definedName>
    <definedName name="wskakunin_kyoka02_KYOKA_NO">DATA!$D$1139</definedName>
    <definedName name="wskakunin_kyoka03_BIKOU">DATA!$D$1149</definedName>
    <definedName name="wskakunin_kyoka03_HOUREI">DATA!$D$1145</definedName>
    <definedName name="wskakunin_kyoka03_JOUKOU">DATA!$D$1146</definedName>
    <definedName name="wskakunin_kyoka03_KYOKA_DATE">DATA!$D$1148</definedName>
    <definedName name="wskakunin_kyoka03_KYOKA_NO">DATA!$D$1147</definedName>
    <definedName name="wskakunin_LAST_ISSUE_DATE">DATA!$D$59</definedName>
    <definedName name="wskakunin_LAST_ISSUE_NAME">DATA!$D$60</definedName>
    <definedName name="wskakunin_LAST_ISSUE_NO">DATA!$D$58</definedName>
    <definedName name="wskakunin_LIMIT_KENPEI_RITU">DATA!$D$965</definedName>
    <definedName name="wskakunin_LIMIT_YOUSEKI_RITU">DATA!$D$964</definedName>
    <definedName name="wskakunin_NOBE_MENSEKI">DATA!$D$1092</definedName>
    <definedName name="wskakunin_NOBE_MENSEKI_BITIKUSOUKO_IGAI">DATA!$D$1053</definedName>
    <definedName name="wskakunin_NOBE_MENSEKI_BITIKUSOUKO_SHINSEI">DATA!$D$1052</definedName>
    <definedName name="wskakunin_NOBE_MENSEKI_BITIKUSOUKO_TOTAL">DATA!$D$1054</definedName>
    <definedName name="wskakunin_NOBE_MENSEKI_BUILD_IGAI">DATA!$D$1023</definedName>
    <definedName name="wskakunin_NOBE_MENSEKI_BUILD_SHINSEI">DATA!$D$1022</definedName>
    <definedName name="wskakunin_NOBE_MENSEKI_BUILD_TOTAL">DATA!$D$1024</definedName>
    <definedName name="wskakunin_NOBE_MENSEKI_CHOSUISOU_IGAI">DATA!$D$1068</definedName>
    <definedName name="wskakunin_NOBE_MENSEKI_CHOSUISOU_SHINSEI">DATA!$D$1067</definedName>
    <definedName name="wskakunin_NOBE_MENSEKI_CHOSUISOU_TOTAL">DATA!$D$1069</definedName>
    <definedName name="wskakunin_NOBE_MENSEKI_FUSANNYU_IGAI">DATA!$D$1078</definedName>
    <definedName name="wskakunin_NOBE_MENSEKI_FUSANNYU_SHINSEI">DATA!$D$1077</definedName>
    <definedName name="wskakunin_NOBE_MENSEKI_FUSANNYU_TOTAL">DATA!$D$1079</definedName>
    <definedName name="wskakunin_NOBE_MENSEKI_JIKAHATUDEN_IGAI">DATA!$D$1063</definedName>
    <definedName name="wskakunin_NOBE_MENSEKI_JIKAHATUDEN_SHINSEI">DATA!$D$1062</definedName>
    <definedName name="wskakunin_NOBE_MENSEKI_JIKAHATUDEN_TOTAL">DATA!$D$1064</definedName>
    <definedName name="wskakunin_NOBE_MENSEKI_JYUTAKU_IGAI">DATA!$D$1083</definedName>
    <definedName name="wskakunin_NOBE_MENSEKI_JYUTAKU_SHINSEI">DATA!$D$1082</definedName>
    <definedName name="wskakunin_NOBE_MENSEKI_JYUTAKU_TOTAL">DATA!$D$1084</definedName>
    <definedName name="wskakunin_NOBE_MENSEKI_KIKAI_IGAI">DATA!$D$1043</definedName>
    <definedName name="wskakunin_NOBE_MENSEKI_KIKAI_SHINSEI">DATA!$D$1042</definedName>
    <definedName name="wskakunin_NOBE_MENSEKI_KIKAI_TOTAL">DATA!$D$1044</definedName>
    <definedName name="wskakunin_NOBE_MENSEKI_KYOYOU_IGAI">DATA!$D$1038</definedName>
    <definedName name="wskakunin_NOBE_MENSEKI_KYOYOU_SHINSEI">DATA!$D$1037</definedName>
    <definedName name="wskakunin_NOBE_MENSEKI_KYOYOU_TOTAL">DATA!$D$1039</definedName>
    <definedName name="wskakunin_NOBE_MENSEKI_ROUJIN_IGAI">DATA!$D$1088</definedName>
    <definedName name="wskakunin_NOBE_MENSEKI_ROUJIN_SHINSEI">DATA!$D$1087</definedName>
    <definedName name="wskakunin_NOBE_MENSEKI_ROUJIN_TOTAL">DATA!$D$1089</definedName>
    <definedName name="wskakunin_NOBE_MENSEKI_SYAKO_IGAI">DATA!$D$1048</definedName>
    <definedName name="wskakunin_NOBE_MENSEKI_SYAKO_SHINSEI">DATA!$D$1047</definedName>
    <definedName name="wskakunin_NOBE_MENSEKI_SYAKO_TOTAL">DATA!$D$1049</definedName>
    <definedName name="wskakunin_NOBE_MENSEKI_SYOUKOURO_IGAI">DATA!$D$1033</definedName>
    <definedName name="wskakunin_NOBE_MENSEKI_SYOUKOURO_SHINSEI">DATA!$D$1032</definedName>
    <definedName name="wskakunin_NOBE_MENSEKI_SYOUKOURO_TOTAL">DATA!$D$1034</definedName>
    <definedName name="wskakunin_NOBE_MENSEKI_TAKUHAI_IGAI">DATA!$D$1073</definedName>
    <definedName name="wskakunin_NOBE_MENSEKI_TAKUHAI_SHINSEI">DATA!$D$1072</definedName>
    <definedName name="wskakunin_NOBE_MENSEKI_TAKUHAI_TOTAL">DATA!$D$1074</definedName>
    <definedName name="wskakunin_NOBE_MENSEKI_TIKAI_IGAI">DATA!$D$1028</definedName>
    <definedName name="wskakunin_NOBE_MENSEKI_TIKAI_SHINSEI">DATA!$D$1027</definedName>
    <definedName name="wskakunin_NOBE_MENSEKI_TIKAI_TOTAL">DATA!$D$1029</definedName>
    <definedName name="wskakunin_NOBE_MENSEKI_TIKUDENTI_IGAI">DATA!$D$1058</definedName>
    <definedName name="wskakunin_NOBE_MENSEKI_TIKUDENTI_SHINSEI">DATA!$D$1057</definedName>
    <definedName name="wskakunin_NOBE_MENSEKI_TIKUDENTI_TOTAL">DATA!$D$1059</definedName>
    <definedName name="wskakunin_owner1__address">DATA!$D$90</definedName>
    <definedName name="wskakunin_owner1_JIMU_NAME">DATA!$D$80</definedName>
    <definedName name="wskakunin_owner1_JIMU_NAME_KANA">DATA!$D$81</definedName>
    <definedName name="wskakunin_owner1_NAME">DATA!$D$84</definedName>
    <definedName name="wskakunin_owner1_NAME_KANA">DATA!$D$85</definedName>
    <definedName name="wskakunin_owner1_POST">DATA!$D$82</definedName>
    <definedName name="wskakunin_owner1_POST_KANA">DATA!$D$83</definedName>
    <definedName name="wskakunin_owner1_TEL">DATA!$D$91</definedName>
    <definedName name="wskakunin_owner1_ZIP">DATA!$D$88</definedName>
    <definedName name="wskakunin_owner2__address">DATA!$D$107</definedName>
    <definedName name="wskakunin_owner2_JIMU_NAME">DATA!$D$98</definedName>
    <definedName name="wskakunin_owner2_JIMU_NAME_KANA">DATA!$D$99</definedName>
    <definedName name="wskakunin_owner2_NAME">DATA!$D$102</definedName>
    <definedName name="wskakunin_owner2_NAME_KANA">DATA!$D$103</definedName>
    <definedName name="wskakunin_owner2_POST">DATA!$D$100</definedName>
    <definedName name="wskakunin_owner2_POST_KANA">DATA!$D$101</definedName>
    <definedName name="wskakunin_owner2_TEL">DATA!$D$108</definedName>
    <definedName name="wskakunin_owner2_ZIP">DATA!$D$106</definedName>
    <definedName name="wskakunin_owner3__address">DATA!$D$121</definedName>
    <definedName name="wskakunin_owner3_JIMU_NAME">DATA!$D$114</definedName>
    <definedName name="wskakunin_owner3_JIMU_NAME_KANA">DATA!$D$115</definedName>
    <definedName name="wskakunin_owner3_NAME">DATA!$D$118</definedName>
    <definedName name="wskakunin_owner3_NAME_KANA">DATA!$D$119</definedName>
    <definedName name="wskakunin_owner3_POST">DATA!$D$116</definedName>
    <definedName name="wskakunin_owner3_POST_KANA">DATA!$D$117</definedName>
    <definedName name="wskakunin_owner3_TEL">DATA!$D$122</definedName>
    <definedName name="wskakunin_owner3_ZIP">DATA!$D$120</definedName>
    <definedName name="wskakunin_owner4__address">DATA!$D$133</definedName>
    <definedName name="wskakunin_owner4_JIMU_NAME">DATA!$D$126</definedName>
    <definedName name="wskakunin_owner4_JIMU_NAME_KANA">DATA!$D$127</definedName>
    <definedName name="wskakunin_owner4_NAME">DATA!$D$130</definedName>
    <definedName name="wskakunin_owner4_NAME_KANA">DATA!$D$131</definedName>
    <definedName name="wskakunin_owner4_POST">DATA!$D$128</definedName>
    <definedName name="wskakunin_owner4_POST_KANA">DATA!$D$129</definedName>
    <definedName name="wskakunin_owner4_TEL">DATA!$D$134</definedName>
    <definedName name="wskakunin_owner4_ZIP">DATA!$D$132</definedName>
    <definedName name="wskakunin_owner5__address">DATA!$D$145</definedName>
    <definedName name="wskakunin_owner5_JIMU_NAME">DATA!$D$138</definedName>
    <definedName name="wskakunin_owner5_JIMU_NAME_KANA">DATA!$D$139</definedName>
    <definedName name="wskakunin_owner5_NAME">DATA!$D$142</definedName>
    <definedName name="wskakunin_owner5_NAME_KANA">DATA!$D$143</definedName>
    <definedName name="wskakunin_owner5_POST">DATA!$D$140</definedName>
    <definedName name="wskakunin_owner5_POST_KANA">DATA!$D$141</definedName>
    <definedName name="wskakunin_owner5_TEL">DATA!$D$146</definedName>
    <definedName name="wskakunin_owner5_ZIP">DATA!$D$144</definedName>
    <definedName name="wskakunin_owner6__address">DATA!$D$157</definedName>
    <definedName name="wskakunin_owner6_JIMU_NAME">DATA!$D$150</definedName>
    <definedName name="wskakunin_owner6_JIMU_NAME_KANA">DATA!$D$151</definedName>
    <definedName name="wskakunin_owner6_NAME">DATA!$D$154</definedName>
    <definedName name="wskakunin_owner6_NAME_KANA">DATA!$D$155</definedName>
    <definedName name="wskakunin_owner6_POST">DATA!$D$152</definedName>
    <definedName name="wskakunin_owner6_POST_KANA">DATA!$D$153</definedName>
    <definedName name="wskakunin_owner6_TEL">DATA!$D$158</definedName>
    <definedName name="wskakunin_owner6_ZIP">DATA!$D$156</definedName>
    <definedName name="wskakunin_owner7__address">DATA!$D$169</definedName>
    <definedName name="wskakunin_owner7_JIMU_NAME">DATA!$D$162</definedName>
    <definedName name="wskakunin_owner7_JIMU_NAME_KANA">DATA!$D$163</definedName>
    <definedName name="wskakunin_owner7_NAME">DATA!$D$166</definedName>
    <definedName name="wskakunin_owner7_NAME_KANA">DATA!$D$167</definedName>
    <definedName name="wskakunin_owner7_POST">DATA!$D$164</definedName>
    <definedName name="wskakunin_owner7_POST_KANA">DATA!$D$165</definedName>
    <definedName name="wskakunin_owner7_TEL">DATA!$D$170</definedName>
    <definedName name="wskakunin_owner7_ZIP">DATA!$D$168</definedName>
    <definedName name="wskakunin_owner8__address">DATA!$D$180</definedName>
    <definedName name="wskakunin_owner8_JIMU_NAME">DATA!$D$173</definedName>
    <definedName name="wskakunin_owner8_JIMU_NAME_KANA">DATA!$D$174</definedName>
    <definedName name="wskakunin_owner8_NAME">DATA!$D$177</definedName>
    <definedName name="wskakunin_owner8_NAME_KANA">DATA!$D$178</definedName>
    <definedName name="wskakunin_owner8_POST">DATA!$D$175</definedName>
    <definedName name="wskakunin_owner8_POST_KANA">DATA!$D$176</definedName>
    <definedName name="wskakunin_owner8_TEL">DATA!$D$181</definedName>
    <definedName name="wskakunin_owner8_ZIP">DATA!$D$179</definedName>
    <definedName name="wskakunin_owner9__address">DATA!$D$191</definedName>
    <definedName name="wskakunin_owner9_JIMU_NAME">DATA!$D$184</definedName>
    <definedName name="wskakunin_owner9_JIMU_NAME_KANA">DATA!$D$185</definedName>
    <definedName name="wskakunin_owner9_NAME">DATA!$D$188</definedName>
    <definedName name="wskakunin_owner9_NAME_KANA">DATA!$D$189</definedName>
    <definedName name="wskakunin_owner9_POST">DATA!$D$186</definedName>
    <definedName name="wskakunin_owner9_POST_KANA">DATA!$D$187</definedName>
    <definedName name="wskakunin_owner9_TEL">DATA!$D$192</definedName>
    <definedName name="wskakunin_owner9_ZIP">DATA!$D$190</definedName>
    <definedName name="wskakunin_P1_HENKOU_GAIYOU">DATA!$D$61</definedName>
    <definedName name="wskakunin_P2_BIKOU">DATA!$D$843</definedName>
    <definedName name="wskakunin_P3_BIKOU">DATA!$D$1192</definedName>
    <definedName name="wskakunin_P3_SONOTA">DATA!$D$1190</definedName>
    <definedName name="wskakunin_p4_1__kouji">DATA!$D$884</definedName>
    <definedName name="wskakunin_p4_1_KAISU_TIKAI">DATA!$D$886</definedName>
    <definedName name="wskakunin_p4_1_KAISU_TIKAI_NOZOKU">DATA!$D$885</definedName>
    <definedName name="wskakunin_p4_1_KOUZOU1">DATA!$D$887</definedName>
    <definedName name="wskakunin_p4_1_KOUZOU2">DATA!$D$888</definedName>
    <definedName name="wskakunin_p4_1_TAKASA_KEN_MAX">DATA!$D$890</definedName>
    <definedName name="wskakunin_p4_1_TAKASA_MAX">DATA!$D$889</definedName>
    <definedName name="wskakunin_p4_1_youto1_YOUTO">DATA!$D$875</definedName>
    <definedName name="wskakunin_p4_1_youto1_YOUTO_CODE">DATA!$D$876</definedName>
    <definedName name="wskakunin_p4_1_YUKA_MENSEKI_SHINSEI">DATA!$D$891</definedName>
    <definedName name="wskakunin_p4_2_KAISU_TIKAI">DATA!$D$894</definedName>
    <definedName name="wskakunin_p4_2_KAISU_TIKAI_NOZOKU">DATA!$D$893</definedName>
    <definedName name="wskakunin_p4_2_YUKA_MENSEKI_SHINSEI">DATA!$D$895</definedName>
    <definedName name="wskakunin_p4_3_KAISU_TIKAI">DATA!$D$898</definedName>
    <definedName name="wskakunin_p4_3_KAISU_TIKAI_NOZOKU">DATA!$D$897</definedName>
    <definedName name="wskakunin_p4_3_YUKA_MENSEKI_SHINSEI">DATA!$D$899</definedName>
    <definedName name="wskakunin_PAGE1_ALTERATION_NOTE">DATA!$D$68</definedName>
    <definedName name="wskakunin_SEKKEI_NAME">DATA!$D$74</definedName>
    <definedName name="wskakunin_sekkei1__address">DATA!$D$299</definedName>
    <definedName name="wskakunin_sekkei1__sikaku">DATA!$D$287</definedName>
    <definedName name="wskakunin_sekkei1_DOC">DATA!$D$301</definedName>
    <definedName name="wskakunin_sekkei1_JIMU__sikaku">DATA!$D$292</definedName>
    <definedName name="wskakunin_sekkei1_JIMU_NAME">DATA!$D$296</definedName>
    <definedName name="wskakunin_sekkei1_JIMU_NO">DATA!$D$295</definedName>
    <definedName name="wskakunin_sekkei1_JIMU_SIKAKU__label">DATA!$D$293</definedName>
    <definedName name="wskakunin_sekkei1_JIMU_TOUROKU_KIKAN__label">DATA!$D$294</definedName>
    <definedName name="wskakunin_sekkei1_KENTIKUSI_NO">DATA!$D$290</definedName>
    <definedName name="wskakunin_sekkei1_NAME">DATA!$D$291</definedName>
    <definedName name="wskakunin_sekkei1_SIKAKU__label">DATA!$D$288</definedName>
    <definedName name="wskakunin_sekkei1_TEL">DATA!$D$300</definedName>
    <definedName name="wskakunin_sekkei1_TOUROKU_KIKAN__label">DATA!$D$289</definedName>
    <definedName name="wskakunin_sekkei1_ZIP">DATA!$D$298</definedName>
    <definedName name="wskakunin_sekkei10__address">DATA!$D$452</definedName>
    <definedName name="wskakunin_sekkei10__sikaku">DATA!$D$440</definedName>
    <definedName name="wskakunin_sekkei10_DOC">DATA!$D$454</definedName>
    <definedName name="wskakunin_sekkei10_JIMU__sikaku">DATA!$D$445</definedName>
    <definedName name="wskakunin_sekkei10_JIMU_NAME">DATA!$D$449</definedName>
    <definedName name="wskakunin_sekkei10_JIMU_NO">DATA!$D$448</definedName>
    <definedName name="wskakunin_sekkei10_JIMU_SIKAKU__label">DATA!$D$446</definedName>
    <definedName name="wskakunin_sekkei10_JIMU_TOUROKU_KIKAN__label">DATA!$D$447</definedName>
    <definedName name="wskakunin_sekkei10_KENTIKUSI_NO">DATA!$D$443</definedName>
    <definedName name="wskakunin_sekkei10_NAME">DATA!$D$444</definedName>
    <definedName name="wskakunin_sekkei10_SIKAKU__label">DATA!$D$441</definedName>
    <definedName name="wskakunin_sekkei10_TEL">DATA!$D$453</definedName>
    <definedName name="wskakunin_sekkei10_TOUROKU_KIKAN__label">DATA!$D$442</definedName>
    <definedName name="wskakunin_sekkei10_ZIP">DATA!$D$451</definedName>
    <definedName name="wskakunin_sekkei11__address">DATA!$D$469</definedName>
    <definedName name="wskakunin_sekkei11__sikaku">DATA!$D$457</definedName>
    <definedName name="wskakunin_sekkei11_DOC">DATA!$D$471</definedName>
    <definedName name="wskakunin_sekkei11_JIMU__sikaku">DATA!$D$462</definedName>
    <definedName name="wskakunin_sekkei11_JIMU_NAME">DATA!$D$466</definedName>
    <definedName name="wskakunin_sekkei11_JIMU_NO">DATA!$D$465</definedName>
    <definedName name="wskakunin_sekkei11_JIMU_SIKAKU__label">DATA!$D$463</definedName>
    <definedName name="wskakunin_sekkei11_JIMU_TOUROKU_KIKAN__label">DATA!$D$464</definedName>
    <definedName name="wskakunin_sekkei11_KENTIKUSI_NO">DATA!$D$460</definedName>
    <definedName name="wskakunin_sekkei11_NAME">DATA!$D$461</definedName>
    <definedName name="wskakunin_sekkei11_SIKAKU__label">DATA!$D$458</definedName>
    <definedName name="wskakunin_sekkei11_TEL">DATA!$D$470</definedName>
    <definedName name="wskakunin_sekkei11_TOUROKU_KIKAN__label">DATA!$D$459</definedName>
    <definedName name="wskakunin_sekkei11_ZIP">DATA!$D$468</definedName>
    <definedName name="wskakunin_sekkei12__address">DATA!$D$486</definedName>
    <definedName name="wskakunin_sekkei12__sikaku">DATA!$D$474</definedName>
    <definedName name="wskakunin_sekkei12_DOC">DATA!$D$488</definedName>
    <definedName name="wskakunin_sekkei12_JIMU__sikaku">DATA!$D$479</definedName>
    <definedName name="wskakunin_sekkei12_JIMU_NAME">DATA!$D$483</definedName>
    <definedName name="wskakunin_sekkei12_JIMU_NO">DATA!$D$482</definedName>
    <definedName name="wskakunin_sekkei12_JIMU_SIKAKU__label">DATA!$D$480</definedName>
    <definedName name="wskakunin_sekkei12_JIMU_TOUROKU_KIKAN__label">DATA!$D$481</definedName>
    <definedName name="wskakunin_sekkei12_KENTIKUSI_NO">DATA!$D$477</definedName>
    <definedName name="wskakunin_sekkei12_NAME">DATA!$D$478</definedName>
    <definedName name="wskakunin_sekkei12_SIKAKU__label">DATA!$D$475</definedName>
    <definedName name="wskakunin_sekkei12_TEL">DATA!$D$487</definedName>
    <definedName name="wskakunin_sekkei12_TOUROKU_KIKAN__label">DATA!$D$476</definedName>
    <definedName name="wskakunin_sekkei12_ZIP">DATA!$D$485</definedName>
    <definedName name="wskakunin_sekkei2__address">DATA!$D$316</definedName>
    <definedName name="wskakunin_sekkei2__sikaku">DATA!$D$304</definedName>
    <definedName name="wskakunin_sekkei2_DOC">DATA!$D$318</definedName>
    <definedName name="wskakunin_sekkei2_JIMU__sikaku">DATA!$D$309</definedName>
    <definedName name="wskakunin_sekkei2_JIMU_NAME">DATA!$D$313</definedName>
    <definedName name="wskakunin_sekkei2_JIMU_NO">DATA!$D$312</definedName>
    <definedName name="wskakunin_sekkei2_JIMU_SIKAKU__label">DATA!$D$310</definedName>
    <definedName name="wskakunin_sekkei2_JIMU_TOUROKU_KIKAN__label">DATA!$D$311</definedName>
    <definedName name="wskakunin_sekkei2_KENTIKUSI_NO">DATA!$D$307</definedName>
    <definedName name="wskakunin_sekkei2_NAME">DATA!$D$308</definedName>
    <definedName name="wskakunin_sekkei2_SIKAKU__label">DATA!$D$305</definedName>
    <definedName name="wskakunin_sekkei2_TEL">DATA!$D$317</definedName>
    <definedName name="wskakunin_sekkei2_TOUROKU_KIKAN__label">DATA!$D$306</definedName>
    <definedName name="wskakunin_sekkei2_ZIP">DATA!$D$315</definedName>
    <definedName name="wskakunin_sekkei3__address">DATA!$D$333</definedName>
    <definedName name="wskakunin_sekkei3__sikaku">DATA!$D$321</definedName>
    <definedName name="wskakunin_sekkei3_DOC">DATA!$D$335</definedName>
    <definedName name="wskakunin_sekkei3_JIMU__sikaku">DATA!$D$326</definedName>
    <definedName name="wskakunin_sekkei3_JIMU_NAME">DATA!$D$330</definedName>
    <definedName name="wskakunin_sekkei3_JIMU_NO">DATA!$D$329</definedName>
    <definedName name="wskakunin_sekkei3_JIMU_SIKAKU__label">DATA!$D$327</definedName>
    <definedName name="wskakunin_sekkei3_JIMU_TOUROKU_KIKAN__label">DATA!$D$328</definedName>
    <definedName name="wskakunin_sekkei3_KENTIKUSI_NO">DATA!$D$324</definedName>
    <definedName name="wskakunin_sekkei3_NAME">DATA!$D$325</definedName>
    <definedName name="wskakunin_sekkei3_SIKAKU__label">DATA!$D$322</definedName>
    <definedName name="wskakunin_sekkei3_TEL">DATA!$D$334</definedName>
    <definedName name="wskakunin_sekkei3_TOUROKU_KIKAN__label">DATA!$D$323</definedName>
    <definedName name="wskakunin_sekkei3_ZIP">DATA!$D$332</definedName>
    <definedName name="wskakunin_sekkei4__address">DATA!$D$350</definedName>
    <definedName name="wskakunin_sekkei4__sikaku">DATA!$D$338</definedName>
    <definedName name="wskakunin_sekkei4_DOC">DATA!$D$352</definedName>
    <definedName name="wskakunin_sekkei4_JIMU__sikaku">DATA!$D$343</definedName>
    <definedName name="wskakunin_sekkei4_JIMU_NAME">DATA!$D$347</definedName>
    <definedName name="wskakunin_sekkei4_JIMU_NO">DATA!$D$346</definedName>
    <definedName name="wskakunin_sekkei4_JIMU_SIKAKU__label">DATA!$D$344</definedName>
    <definedName name="wskakunin_sekkei4_JIMU_TOUROKU_KIKAN__label">DATA!$D$345</definedName>
    <definedName name="wskakunin_sekkei4_KENTIKUSI_NO">DATA!$D$341</definedName>
    <definedName name="wskakunin_sekkei4_NAME">DATA!$D$342</definedName>
    <definedName name="wskakunin_sekkei4_SIKAKU__label">DATA!$D$339</definedName>
    <definedName name="wskakunin_sekkei4_TEL">DATA!$D$351</definedName>
    <definedName name="wskakunin_sekkei4_TOUROKU_KIKAN__label">DATA!$D$340</definedName>
    <definedName name="wskakunin_sekkei4_ZIP">DATA!$D$349</definedName>
    <definedName name="wskakunin_sekkei5__address">DATA!$D$367</definedName>
    <definedName name="wskakunin_sekkei5__sikaku">DATA!$D$355</definedName>
    <definedName name="wskakunin_sekkei5_DOC">DATA!$D$369</definedName>
    <definedName name="wskakunin_sekkei5_JIMU__sikaku">DATA!$D$360</definedName>
    <definedName name="wskakunin_sekkei5_JIMU_NAME">DATA!$D$364</definedName>
    <definedName name="wskakunin_sekkei5_JIMU_NO">DATA!$D$363</definedName>
    <definedName name="wskakunin_sekkei5_JIMU_SIKAKU__label">DATA!$D$361</definedName>
    <definedName name="wskakunin_sekkei5_JIMU_TOUROKU_KIKAN__label">DATA!$D$362</definedName>
    <definedName name="wskakunin_sekkei5_KENTIKUSI_NO">DATA!$D$358</definedName>
    <definedName name="wskakunin_sekkei5_NAME">DATA!$D$359</definedName>
    <definedName name="wskakunin_sekkei5_SIKAKU__label">DATA!$D$356</definedName>
    <definedName name="wskakunin_sekkei5_TEL">DATA!$D$368</definedName>
    <definedName name="wskakunin_sekkei5_TOUROKU_KIKAN__label">DATA!$D$357</definedName>
    <definedName name="wskakunin_sekkei5_ZIP">DATA!$D$366</definedName>
    <definedName name="wskakunin_sekkei6__address">DATA!$D$384</definedName>
    <definedName name="wskakunin_sekkei6__sikaku">DATA!$D$372</definedName>
    <definedName name="wskakunin_sekkei6_DOC">DATA!$D$386</definedName>
    <definedName name="wskakunin_sekkei6_JIMU__sikaku">DATA!$D$377</definedName>
    <definedName name="wskakunin_sekkei6_JIMU_NAME">DATA!$D$381</definedName>
    <definedName name="wskakunin_sekkei6_JIMU_NO">DATA!$D$380</definedName>
    <definedName name="wskakunin_sekkei6_JIMU_SIKAKU__label">DATA!$D$378</definedName>
    <definedName name="wskakunin_sekkei6_JIMU_TOUROKU_KIKAN__label">DATA!$D$379</definedName>
    <definedName name="wskakunin_sekkei6_KENTIKUSI_NO">DATA!$D$375</definedName>
    <definedName name="wskakunin_sekkei6_NAME">DATA!$D$376</definedName>
    <definedName name="wskakunin_sekkei6_SIKAKU__label">DATA!$D$373</definedName>
    <definedName name="wskakunin_sekkei6_TEL">DATA!$D$385</definedName>
    <definedName name="wskakunin_sekkei6_TOUROKU_KIKAN__label">DATA!$D$374</definedName>
    <definedName name="wskakunin_sekkei6_ZIP">DATA!$D$383</definedName>
    <definedName name="wskakunin_sekkei7__address">DATA!$D$401</definedName>
    <definedName name="wskakunin_sekkei7__sikaku">DATA!$D$389</definedName>
    <definedName name="wskakunin_sekkei7_DOC">DATA!$D$403</definedName>
    <definedName name="wskakunin_sekkei7_JIMU__sikaku">DATA!$D$394</definedName>
    <definedName name="wskakunin_sekkei7_JIMU_NAME">DATA!$D$398</definedName>
    <definedName name="wskakunin_sekkei7_JIMU_NO">DATA!$D$397</definedName>
    <definedName name="wskakunin_sekkei7_JIMU_SIKAKU__label">DATA!$D$395</definedName>
    <definedName name="wskakunin_sekkei7_JIMU_TOUROKU_KIKAN__label">DATA!$D$396</definedName>
    <definedName name="wskakunin_sekkei7_KENTIKUSI_NO">DATA!$D$392</definedName>
    <definedName name="wskakunin_sekkei7_NAME">DATA!$D$393</definedName>
    <definedName name="wskakunin_sekkei7_SIKAKU__label">DATA!$D$390</definedName>
    <definedName name="wskakunin_sekkei7_TEL">DATA!$D$402</definedName>
    <definedName name="wskakunin_sekkei7_TOUROKU_KIKAN__label">DATA!$D$391</definedName>
    <definedName name="wskakunin_sekkei7_ZIP">DATA!$D$400</definedName>
    <definedName name="wskakunin_sekkei8__address">DATA!$D$418</definedName>
    <definedName name="wskakunin_sekkei8__sikaku">DATA!$D$406</definedName>
    <definedName name="wskakunin_sekkei8_DOC">DATA!$D$420</definedName>
    <definedName name="wskakunin_sekkei8_JIMU__sikaku">DATA!$D$411</definedName>
    <definedName name="wskakunin_sekkei8_JIMU_NAME">DATA!$D$415</definedName>
    <definedName name="wskakunin_sekkei8_JIMU_NO">DATA!$D$414</definedName>
    <definedName name="wskakunin_sekkei8_JIMU_SIKAKU__label">DATA!$D$412</definedName>
    <definedName name="wskakunin_sekkei8_JIMU_TOUROKU_KIKAN__label">DATA!$D$413</definedName>
    <definedName name="wskakunin_sekkei8_KENTIKUSI_NO">DATA!$D$409</definedName>
    <definedName name="wskakunin_sekkei8_NAME">DATA!$D$410</definedName>
    <definedName name="wskakunin_sekkei8_SIKAKU__label">DATA!$D$407</definedName>
    <definedName name="wskakunin_sekkei8_TEL">DATA!$D$419</definedName>
    <definedName name="wskakunin_sekkei8_TOUROKU_KIKAN__label">DATA!$D$408</definedName>
    <definedName name="wskakunin_sekkei8_ZIP">DATA!$D$417</definedName>
    <definedName name="wskakunin_sekkei9__address">DATA!$D$435</definedName>
    <definedName name="wskakunin_sekkei9__sikaku">DATA!$D$423</definedName>
    <definedName name="wskakunin_sekkei9_DOC">DATA!$D$437</definedName>
    <definedName name="wskakunin_sekkei9_JIMU__sikaku">DATA!$D$428</definedName>
    <definedName name="wskakunin_sekkei9_JIMU_NAME">DATA!$D$432</definedName>
    <definedName name="wskakunin_sekkei9_JIMU_NO">DATA!$D$431</definedName>
    <definedName name="wskakunin_sekkei9_JIMU_SIKAKU__label">DATA!$D$429</definedName>
    <definedName name="wskakunin_sekkei9_JIMU_TOUROKU_KIKAN__label">DATA!$D$430</definedName>
    <definedName name="wskakunin_sekkei9_KENTIKUSI_NO">DATA!$D$426</definedName>
    <definedName name="wskakunin_sekkei9_NAME">DATA!$D$427</definedName>
    <definedName name="wskakunin_sekkei9_SIKAKU__label">DATA!$D$424</definedName>
    <definedName name="wskakunin_sekkei9_TEL">DATA!$D$436</definedName>
    <definedName name="wskakunin_sekkei9_TOUROKU_KIKAN__label">DATA!$D$425</definedName>
    <definedName name="wskakunin_sekkei9_ZIP">DATA!$D$434</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DATA!$D$794</definedName>
    <definedName name="wskakunin_sekou2_JIMU_NAME">DATA!$D$792</definedName>
    <definedName name="wskakunin_sekou2_NAME">DATA!$D$788</definedName>
    <definedName name="wskakunin_sekou2_SEKOU__sikaku">DATA!$D$789</definedName>
    <definedName name="wskakunin_sekou2_SEKOU_NO">DATA!$D$791</definedName>
    <definedName name="wskakunin_sekou2_SEKOU_SIKAKU__label">DATA!$D$790</definedName>
    <definedName name="wskakunin_sekou2_TEL">DATA!$D$795</definedName>
    <definedName name="wskakunin_sekou2_ZIP">DATA!$D$793</definedName>
    <definedName name="wskakunin_sekou3__address">DATA!$D$804</definedName>
    <definedName name="wskakunin_sekou3_JIMU_NAME">DATA!$D$802</definedName>
    <definedName name="wskakunin_sekou3_NAME">DATA!$D$798</definedName>
    <definedName name="wskakunin_sekou3_SEKOU__sikaku">DATA!$D$799</definedName>
    <definedName name="wskakunin_sekou3_SEKOU_NO">DATA!$D$801</definedName>
    <definedName name="wskakunin_sekou3_SEKOU_SIKAKU__label">DATA!$D$800</definedName>
    <definedName name="wskakunin_sekou3_TEL">DATA!$D$805</definedName>
    <definedName name="wskakunin_sekou3_ZIP">DATA!$D$803</definedName>
    <definedName name="wskakunin_sekou4__address">DATA!$D$814</definedName>
    <definedName name="wskakunin_sekou4_JIMU_NAME">DATA!$D$812</definedName>
    <definedName name="wskakunin_sekou4_NAME">DATA!$D$808</definedName>
    <definedName name="wskakunin_sekou4_SEKOU__sikaku">DATA!$D$809</definedName>
    <definedName name="wskakunin_sekou4_SEKOU_NO">DATA!$D$811</definedName>
    <definedName name="wskakunin_sekou4_SEKOU_SIKAKU__label">DATA!$D$810</definedName>
    <definedName name="wskakunin_sekou4_TEL">DATA!$D$815</definedName>
    <definedName name="wskakunin_sekou4_ZIP">DATA!$D$813</definedName>
    <definedName name="wskakunin_sekou5__address">DATA!$D$824</definedName>
    <definedName name="wskakunin_sekou5_JIMU_NAME">DATA!$D$822</definedName>
    <definedName name="wskakunin_sekou5_NAME">DATA!$D$818</definedName>
    <definedName name="wskakunin_sekou5_SEKOU__sikaku">DATA!$D$819</definedName>
    <definedName name="wskakunin_sekou5_SEKOU_NO">DATA!$D$821</definedName>
    <definedName name="wskakunin_sekou5_SEKOU_SIKAKU__label">DATA!$D$820</definedName>
    <definedName name="wskakunin_sekou5_TEL">DATA!$D$825</definedName>
    <definedName name="wskakunin_sekou5_ZIP">DATA!$D$823</definedName>
    <definedName name="wskakunin_sekou6__address">DATA!$D$834</definedName>
    <definedName name="wskakunin_sekou6_JIMU_NAME">DATA!$D$832</definedName>
    <definedName name="wskakunin_sekou6_NAME">DATA!$D$828</definedName>
    <definedName name="wskakunin_sekou6_SEKOU__sikaku">DATA!$D$829</definedName>
    <definedName name="wskakunin_sekou6_SEKOU_NO">DATA!$D$831</definedName>
    <definedName name="wskakunin_sekou6_SEKOU_SIKAKU__label">DATA!$D$830</definedName>
    <definedName name="wskakunin_sekou6_TEL">DATA!$D$835</definedName>
    <definedName name="wskakunin_sekou6_ZIP">DATA!$D$833</definedName>
    <definedName name="wskakunin_SHIKITI_MENSEKI_1_TOTAL">DATA!$D$962</definedName>
    <definedName name="wskakunin_SHIKITI_MENSEKI_1A">DATA!$D$938</definedName>
    <definedName name="wskakunin_SHIKITI_MENSEKI_1B">DATA!$D$939</definedName>
    <definedName name="wskakunin_SHIKITI_MENSEKI_1C">DATA!$D$940</definedName>
    <definedName name="wskakunin_SHIKITI_MENSEKI_1D">DATA!$D$941</definedName>
    <definedName name="wskakunin_SHIKITI_MENSEKI_2_TOTAL">DATA!$D$963</definedName>
    <definedName name="wskakunin_SHIKITI_MENSEKI_2A">DATA!$D$942</definedName>
    <definedName name="wskakunin_SHIKITI_MENSEKI_2B">DATA!$D$943</definedName>
    <definedName name="wskakunin_SHIKITI_MENSEKI_2C">DATA!$D$944</definedName>
    <definedName name="wskakunin_SHIKITI_MENSEKI_2D">DATA!$D$945</definedName>
    <definedName name="wskakunin_SHIKITI_MENSEKI_BIKOU">DATA!$D$966</definedName>
    <definedName name="wskakunin_SHINSEI_DATE">DATA!$D$53</definedName>
    <definedName name="wskakunin_SHINSEI_DATE__day">DATA!$D$56</definedName>
    <definedName name="wskakunin_SHINSEI_DATE__e">DATA!$D$54</definedName>
    <definedName name="wskakunin_SHINSEI_DATE__month">DATA!$D$55</definedName>
    <definedName name="wskakunin_SONOTA_KUIKI">DATA!$D$930</definedName>
    <definedName name="wskakunin_TAKASA_MAX_SHINSEI">DATA!$D$1103</definedName>
    <definedName name="wskakunin_TAKASA_MAX_SONOTA">DATA!$D$1104</definedName>
    <definedName name="wskakunin_tekihan01_TEKIHAN_KIKAN_ADDRESS">DATA!$D$853</definedName>
    <definedName name="wskakunin_tekihan01_TEKIHAN_KIKAN_KEN__ken">DATA!$D$852</definedName>
    <definedName name="wskakunin_tekihan01_TEKIHAN_KIKAN_NAME">DATA!$D$851</definedName>
    <definedName name="wskakunin_tekihan01_TEKIHAN_STATE">DATA!$D$847</definedName>
    <definedName name="wskakunin_tekihan02_TEKIHAN_KIKAN_ADDRESS">DATA!$D$857</definedName>
    <definedName name="wskakunin_tekihan02_TEKIHAN_KIKAN_KEN__ken">DATA!$D$856</definedName>
    <definedName name="wskakunin_tekihan02_TEKIHAN_KIKAN_NAME">DATA!$D$855</definedName>
    <definedName name="wskakunin_TOKUREI_1">DATA!$D$1200</definedName>
    <definedName name="wskakunin_TOKUREI_2">DATA!$D$1201</definedName>
    <definedName name="wskakunin_TOKUREI_3">DATA!$D$1202</definedName>
    <definedName name="wskakunin_TOKUREI_4">DATA!$D$1203</definedName>
    <definedName name="wskakunin_TOKUREI_TAKASA">DATA!$D$1118</definedName>
    <definedName name="wskakunin_TOKUREI_TAKASA_DOURO">DATA!$D$1123</definedName>
    <definedName name="wskakunin_TOKUREI_TAKASA_KITA">DATA!$D$1125</definedName>
    <definedName name="wskakunin_TOKUREI_TAKASA_RINTI">DATA!$D$1124</definedName>
    <definedName name="wskakunin_TOKUTEI_KOUJI_KANRYOU_DATE">DATA!$D$1215</definedName>
    <definedName name="wskakunin_TOKUTEI_KOUTEI">DATA!$D$1212</definedName>
    <definedName name="wskakunin_YOUSEKI_RITU">DATA!$D$1095</definedName>
    <definedName name="wskakunin_YOUSEKI_RITU_A">DATA!$D$952</definedName>
    <definedName name="wskakunin_YOUSEKI_RITU_B">DATA!$D$953</definedName>
    <definedName name="wskakunin_YOUSEKI_RITU_C">DATA!$D$954</definedName>
    <definedName name="wskakunin_YOUSEKI_RITU_D">DATA!$D$955</definedName>
    <definedName name="wskakunin_YOUTO">DATA!$D$969</definedName>
    <definedName name="wskakunin_YOUTO_CODE">DATA!$D$968</definedName>
    <definedName name="wskakunin_YOUTO_TIIKI_A">DATA!$D$947</definedName>
    <definedName name="wskakunin_YOUTO_TIIKI_B">DATA!$D$948</definedName>
    <definedName name="wskakunin_YOUTO_TIIKI_C">DATA!$D$949</definedName>
    <definedName name="wskakunin_YOUTO_TIIKI_D">DATA!$D$950</definedName>
    <definedName name="wskakuninKOUJI_SETUBI">DATA!$D$980</definedName>
    <definedName name="Z_D83ABAE7_1F4C_4C77_8E04_C5172671ED17_.wvu.Rows" localSheetId="2">DATA!$877:$883</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構造コード_2410">項目リスト!$AU$3:$AU$8</definedName>
    <definedName name="工事届用構造区分_2410">項目リスト!$AU$3:$AV$8</definedName>
    <definedName name="工事届用主要用途">項目リスト!$AO$3:$AO$7</definedName>
    <definedName name="工事届用主要用途_2410">項目リスト!$AQ$3:$AQ$34</definedName>
    <definedName name="工事届用主要用途2">項目リスト!$AO$8:$AO$44</definedName>
    <definedName name="工事届用主要用途区分">項目リスト!$AO$3:$AP$44</definedName>
    <definedName name="工事届用主要用途区分_2410">項目リスト!$AQ$3:$AR$34</definedName>
    <definedName name="工事届用用途コード_2410">項目リスト!$AS$3:$AS$74</definedName>
    <definedName name="工事届用用途区分_2410">項目リスト!$AS$3:$AT$74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terada - 個人用ビュー" guid="{2DA24103-744A-47E0-AFFB-F94A0E194D57}" mergeInterval="0" personalView="1" xWindow="2047" yWindow="11" windowWidth="1720" windowHeight="1010" tabRatio="947" activeSheetId="1"/>
    <customWorkbookView name="tokunaga - 個人用ビュー" guid="{D83ABAE7-1F4C-4C77-8E04-C5172671ED17}" mergeInterval="0" personalView="1" maximized="1" xWindow="1912" yWindow="-8" windowWidth="1936" windowHeight="1096" tabRatio="947" activeSheetId="2"/>
    <customWorkbookView name="kasumi-PC - 個人用ビュー" guid="{E028D9C5-4CBB-430B-B1F8-80DD1ABDFA29}" mergeInterval="0" personalView="1" maximized="1" xWindow="1912" yWindow="-8" windowWidth="1936" windowHeight="1096" tabRatio="94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23" l="1"/>
  <c r="P36" i="123"/>
  <c r="F28" i="123"/>
  <c r="D19" i="123"/>
  <c r="E17" i="123"/>
  <c r="R40" i="122"/>
  <c r="F40" i="122"/>
  <c r="G38" i="122"/>
  <c r="P34" i="122"/>
  <c r="F28" i="122"/>
  <c r="F27" i="122"/>
  <c r="F22" i="122"/>
  <c r="D19" i="122"/>
  <c r="V18" i="122"/>
  <c r="L16" i="122"/>
  <c r="F16" i="122"/>
  <c r="I83" i="74"/>
  <c r="I81" i="74"/>
  <c r="F80" i="74"/>
  <c r="F78" i="74"/>
  <c r="J75" i="74"/>
  <c r="F75" i="74"/>
  <c r="Q74" i="74"/>
  <c r="J74" i="74"/>
  <c r="S65" i="74"/>
  <c r="R64" i="74"/>
  <c r="J64" i="74"/>
  <c r="R63" i="74"/>
  <c r="M55" i="74"/>
  <c r="Z54" i="74"/>
  <c r="S54" i="74"/>
  <c r="M54" i="74"/>
  <c r="M51" i="74"/>
  <c r="Z50" i="74"/>
  <c r="S50" i="74"/>
  <c r="M50" i="74"/>
  <c r="M47" i="74"/>
  <c r="Z46" i="74"/>
  <c r="S46" i="74"/>
  <c r="M46" i="74"/>
  <c r="M42" i="74"/>
  <c r="Z41" i="74"/>
  <c r="S41" i="74"/>
  <c r="M41" i="74"/>
  <c r="S34" i="74"/>
  <c r="M34" i="74"/>
  <c r="N32" i="74"/>
  <c r="G32" i="74"/>
  <c r="K31" i="74"/>
  <c r="Q26" i="74"/>
  <c r="Q25" i="74"/>
  <c r="J24" i="74"/>
  <c r="J23" i="74"/>
  <c r="N22" i="74"/>
  <c r="I22" i="74"/>
  <c r="X18" i="74"/>
  <c r="S18" i="74"/>
  <c r="N18" i="74"/>
  <c r="I18" i="74"/>
  <c r="N17" i="74"/>
  <c r="I17" i="74"/>
  <c r="M14" i="74"/>
  <c r="M13" i="74"/>
  <c r="G10" i="74"/>
  <c r="Q8" i="74"/>
  <c r="F7" i="74"/>
  <c r="G3" i="74"/>
  <c r="I150" i="73"/>
  <c r="N149" i="73"/>
  <c r="I147" i="73"/>
  <c r="I146" i="73"/>
  <c r="I145" i="73"/>
  <c r="I140" i="73"/>
  <c r="I138" i="73"/>
  <c r="I137" i="73"/>
  <c r="X136" i="73"/>
  <c r="X128" i="73"/>
  <c r="I127" i="73"/>
  <c r="X126" i="73"/>
  <c r="I122" i="73"/>
  <c r="I121" i="73"/>
  <c r="X120" i="73"/>
  <c r="I119" i="73"/>
  <c r="X118" i="73"/>
  <c r="I112" i="73"/>
  <c r="X111" i="73"/>
  <c r="J111" i="73"/>
  <c r="X109" i="73"/>
  <c r="I103" i="73"/>
  <c r="I102" i="73"/>
  <c r="I101" i="73"/>
  <c r="I98" i="73"/>
  <c r="I97" i="73"/>
  <c r="I91" i="73"/>
  <c r="I90" i="73"/>
  <c r="I89" i="73"/>
  <c r="I86" i="73"/>
  <c r="K84" i="73"/>
  <c r="I78" i="73"/>
  <c r="P75" i="73"/>
  <c r="P74" i="73"/>
  <c r="P70" i="73"/>
  <c r="P64" i="73"/>
  <c r="P63" i="73"/>
  <c r="P61" i="73"/>
  <c r="P60" i="73"/>
  <c r="L53" i="73"/>
  <c r="I52" i="73"/>
  <c r="R48" i="73"/>
  <c r="J48" i="73"/>
  <c r="X46" i="73"/>
  <c r="L45" i="73"/>
  <c r="I44" i="73"/>
  <c r="J40" i="73"/>
  <c r="I39" i="73"/>
  <c r="X38" i="73"/>
  <c r="I36" i="73"/>
  <c r="R32" i="73"/>
  <c r="J32" i="73"/>
  <c r="I31" i="73"/>
  <c r="X30" i="73"/>
  <c r="I22" i="73"/>
  <c r="X21" i="73"/>
  <c r="I18" i="73"/>
  <c r="I17" i="73"/>
  <c r="J14" i="73"/>
  <c r="R12" i="73"/>
  <c r="I8" i="73"/>
  <c r="E19" i="120"/>
  <c r="F15" i="120"/>
  <c r="C35" i="118"/>
  <c r="C33" i="118"/>
  <c r="C32" i="118"/>
  <c r="H31" i="118"/>
  <c r="D21" i="118"/>
  <c r="D19" i="118"/>
  <c r="H15" i="118"/>
  <c r="C13" i="118"/>
  <c r="H6" i="118"/>
  <c r="C34" i="117"/>
  <c r="H33" i="117"/>
  <c r="F33" i="117"/>
  <c r="C33" i="117"/>
  <c r="C31" i="117"/>
  <c r="D21" i="117"/>
  <c r="H13" i="117"/>
  <c r="H6" i="117"/>
  <c r="C14" i="112"/>
  <c r="AE131" i="126"/>
  <c r="J131" i="126"/>
  <c r="AF130" i="126"/>
  <c r="K130" i="126"/>
  <c r="AE112" i="126"/>
  <c r="K110" i="126"/>
  <c r="AC98" i="126"/>
  <c r="T98" i="126"/>
  <c r="K98" i="126"/>
  <c r="Z80" i="126"/>
  <c r="J80" i="126"/>
  <c r="Z79" i="126"/>
  <c r="J78" i="126"/>
  <c r="Q67" i="126"/>
  <c r="K67" i="126"/>
  <c r="K66" i="126"/>
  <c r="X45" i="126"/>
  <c r="L45" i="126"/>
  <c r="Q44" i="126"/>
  <c r="I32" i="126"/>
  <c r="I31" i="126"/>
  <c r="I30" i="126"/>
  <c r="I28" i="126"/>
  <c r="I25" i="126"/>
  <c r="I24" i="126"/>
  <c r="I17" i="126"/>
  <c r="A12" i="126"/>
  <c r="AG10" i="126"/>
  <c r="Y10" i="126"/>
  <c r="R118" i="111"/>
  <c r="R117" i="111"/>
  <c r="R116" i="111"/>
  <c r="W112" i="111"/>
  <c r="H112" i="111"/>
  <c r="W111" i="111"/>
  <c r="H111" i="111"/>
  <c r="W97" i="111"/>
  <c r="I97" i="111"/>
  <c r="W95" i="111"/>
  <c r="R67" i="111"/>
  <c r="R66" i="111"/>
  <c r="R65" i="111"/>
  <c r="P64" i="111"/>
  <c r="G62" i="111"/>
  <c r="N61" i="111"/>
  <c r="G61" i="111"/>
  <c r="G58" i="111"/>
  <c r="K50" i="111"/>
  <c r="K49" i="111"/>
  <c r="N37" i="111"/>
  <c r="L37" i="111"/>
  <c r="J37" i="111"/>
  <c r="H37" i="111"/>
  <c r="E34" i="111"/>
  <c r="E33" i="111"/>
  <c r="E26" i="111"/>
  <c r="E25" i="111"/>
  <c r="E24" i="111"/>
  <c r="E22" i="111"/>
  <c r="B10" i="111"/>
  <c r="W8" i="111"/>
  <c r="U8" i="111"/>
  <c r="S8" i="111"/>
  <c r="D18" i="96"/>
  <c r="C18" i="96" s="1"/>
  <c r="B18" i="96" s="1"/>
  <c r="F18" i="96" s="1"/>
  <c r="F58" i="124"/>
  <c r="F27" i="123" s="1"/>
  <c r="F55" i="124"/>
  <c r="F51" i="124"/>
  <c r="F22" i="123" s="1"/>
  <c r="F50" i="124"/>
  <c r="E21" i="123" s="1"/>
  <c r="F49" i="124"/>
  <c r="G20" i="123" s="1"/>
  <c r="F48" i="124"/>
  <c r="F47" i="124"/>
  <c r="F46" i="124"/>
  <c r="F45" i="124"/>
  <c r="F44" i="124"/>
  <c r="F43" i="124"/>
  <c r="F39" i="124"/>
  <c r="R42" i="123" s="1"/>
  <c r="F38" i="124"/>
  <c r="Q41" i="123" s="1"/>
  <c r="F37" i="124"/>
  <c r="S40" i="123" s="1"/>
  <c r="F35" i="124"/>
  <c r="F36" i="124" s="1"/>
  <c r="R39" i="123" s="1"/>
  <c r="F34" i="124"/>
  <c r="S38" i="123" s="1"/>
  <c r="F33" i="124"/>
  <c r="F32" i="124"/>
  <c r="F31" i="124"/>
  <c r="F30" i="124"/>
  <c r="F29" i="124"/>
  <c r="F28" i="124"/>
  <c r="F24" i="124"/>
  <c r="F42" i="123" s="1"/>
  <c r="F23" i="124"/>
  <c r="E41" i="123" s="1"/>
  <c r="F22" i="124"/>
  <c r="G40" i="123" s="1"/>
  <c r="F20" i="124"/>
  <c r="F21" i="124" s="1"/>
  <c r="F39" i="123" s="1"/>
  <c r="F19" i="124"/>
  <c r="F18" i="124"/>
  <c r="F17" i="124"/>
  <c r="F16" i="124"/>
  <c r="F15" i="124"/>
  <c r="F14" i="124"/>
  <c r="F13" i="124"/>
  <c r="F10" i="124"/>
  <c r="F1345" i="3"/>
  <c r="F1344" i="3"/>
  <c r="F1333" i="3"/>
  <c r="F1332" i="3"/>
  <c r="F1331" i="3"/>
  <c r="F1319" i="3"/>
  <c r="F1318" i="3"/>
  <c r="F1317" i="3"/>
  <c r="F1309" i="3"/>
  <c r="F1308" i="3"/>
  <c r="F1285" i="3"/>
  <c r="F1284" i="3"/>
  <c r="F1283" i="3"/>
  <c r="F1280" i="3"/>
  <c r="F1279" i="3"/>
  <c r="F1278" i="3"/>
  <c r="F1246" i="3"/>
  <c r="F1245" i="3"/>
  <c r="F1244" i="3"/>
  <c r="F1243" i="3"/>
  <c r="F1242" i="3"/>
  <c r="F1239" i="3"/>
  <c r="F1238" i="3"/>
  <c r="F1237" i="3"/>
  <c r="F1236" i="3"/>
  <c r="F1235" i="3"/>
  <c r="F1232" i="3"/>
  <c r="F1231" i="3"/>
  <c r="F1230" i="3"/>
  <c r="F1229" i="3"/>
  <c r="F1228" i="3"/>
  <c r="F1225" i="3"/>
  <c r="F1224" i="3"/>
  <c r="F1223" i="3"/>
  <c r="F1222" i="3"/>
  <c r="F1221" i="3"/>
  <c r="F1212" i="3"/>
  <c r="F1205" i="3"/>
  <c r="F1199" i="3"/>
  <c r="F1192" i="3"/>
  <c r="F1190" i="3"/>
  <c r="F1188" i="3"/>
  <c r="J80" i="74" s="1"/>
  <c r="F1187" i="3"/>
  <c r="F1186" i="3"/>
  <c r="F1185" i="3"/>
  <c r="J78" i="74" s="1"/>
  <c r="F1184" i="3"/>
  <c r="F1183" i="3"/>
  <c r="F1181" i="3"/>
  <c r="F1180" i="3"/>
  <c r="F1179" i="3"/>
  <c r="F1176" i="3"/>
  <c r="Q76" i="74" s="1"/>
  <c r="F1175" i="3"/>
  <c r="J76" i="74" s="1"/>
  <c r="F1174" i="3"/>
  <c r="F76" i="74" s="1"/>
  <c r="F1171" i="3"/>
  <c r="F1330" i="3" s="1"/>
  <c r="F1170" i="3"/>
  <c r="F1169" i="3"/>
  <c r="F1329" i="3" s="1"/>
  <c r="F1166" i="3"/>
  <c r="F1316" i="3" s="1"/>
  <c r="F1165" i="3"/>
  <c r="F1164" i="3"/>
  <c r="F1159" i="3"/>
  <c r="F1158" i="3"/>
  <c r="F1156" i="3"/>
  <c r="M67" i="126" s="1"/>
  <c r="F1154" i="3"/>
  <c r="F1149" i="3"/>
  <c r="F1148" i="3"/>
  <c r="F1147" i="3"/>
  <c r="F1146" i="3"/>
  <c r="F1145" i="3"/>
  <c r="F1141" i="3"/>
  <c r="F1140" i="3"/>
  <c r="F1139" i="3"/>
  <c r="F1138" i="3"/>
  <c r="F1137" i="3"/>
  <c r="F1152" i="3" s="1"/>
  <c r="H68" i="74" s="1"/>
  <c r="F1133" i="3"/>
  <c r="F1132" i="3"/>
  <c r="F1131" i="3"/>
  <c r="F1130" i="3"/>
  <c r="F1129" i="3"/>
  <c r="F1125" i="3"/>
  <c r="T67" i="74" s="1"/>
  <c r="F1124" i="3"/>
  <c r="M67" i="74" s="1"/>
  <c r="F1123" i="3"/>
  <c r="F67" i="74" s="1"/>
  <c r="F1120" i="3"/>
  <c r="V65" i="74" s="1"/>
  <c r="F1119" i="3"/>
  <c r="F1118" i="3"/>
  <c r="F1116" i="3"/>
  <c r="F1115" i="3"/>
  <c r="F1114" i="3"/>
  <c r="F1113" i="3"/>
  <c r="F1112" i="3"/>
  <c r="F1110" i="3"/>
  <c r="F1109" i="3"/>
  <c r="J63" i="74" s="1"/>
  <c r="F1107" i="3"/>
  <c r="R62" i="74" s="1"/>
  <c r="F1106" i="3"/>
  <c r="J62" i="74" s="1"/>
  <c r="F1104" i="3"/>
  <c r="R61" i="74" s="1"/>
  <c r="F1103" i="3"/>
  <c r="J61" i="74" s="1"/>
  <c r="F1099" i="3"/>
  <c r="M59" i="74" s="1"/>
  <c r="F1098" i="3"/>
  <c r="M58" i="74" s="1"/>
  <c r="F1095" i="3"/>
  <c r="M56" i="74" s="1"/>
  <c r="F1092" i="3"/>
  <c r="F1089" i="3"/>
  <c r="F1088" i="3"/>
  <c r="F1087" i="3"/>
  <c r="F1084" i="3"/>
  <c r="Z53" i="74" s="1"/>
  <c r="F1083" i="3"/>
  <c r="S53" i="74" s="1"/>
  <c r="F1082" i="3"/>
  <c r="M53" i="74" s="1"/>
  <c r="F1079" i="3"/>
  <c r="Z52" i="74" s="1"/>
  <c r="F1078" i="3"/>
  <c r="S52" i="74" s="1"/>
  <c r="F1077" i="3"/>
  <c r="M52" i="74" s="1"/>
  <c r="F1074" i="3"/>
  <c r="Z51" i="74" s="1"/>
  <c r="F1073" i="3"/>
  <c r="S51" i="74" s="1"/>
  <c r="F1072" i="3"/>
  <c r="F1069" i="3"/>
  <c r="F1068" i="3"/>
  <c r="F1067" i="3"/>
  <c r="F1064" i="3"/>
  <c r="Z49" i="74" s="1"/>
  <c r="F1063" i="3"/>
  <c r="S49" i="74" s="1"/>
  <c r="F1062" i="3"/>
  <c r="M49" i="74" s="1"/>
  <c r="F1059" i="3"/>
  <c r="Z48" i="74" s="1"/>
  <c r="F1058" i="3"/>
  <c r="S48" i="74" s="1"/>
  <c r="F1057" i="3"/>
  <c r="M48" i="74" s="1"/>
  <c r="F1054" i="3"/>
  <c r="Z47" i="74" s="1"/>
  <c r="F1053" i="3"/>
  <c r="S47" i="74" s="1"/>
  <c r="F1052" i="3"/>
  <c r="F1049" i="3"/>
  <c r="F1048" i="3"/>
  <c r="F1047" i="3"/>
  <c r="F1044" i="3"/>
  <c r="Z45" i="74" s="1"/>
  <c r="F1043" i="3"/>
  <c r="S45" i="74" s="1"/>
  <c r="F1042" i="3"/>
  <c r="M45" i="74" s="1"/>
  <c r="F1039" i="3"/>
  <c r="Z44" i="74" s="1"/>
  <c r="F1038" i="3"/>
  <c r="S44" i="74" s="1"/>
  <c r="F1037" i="3"/>
  <c r="M44" i="74" s="1"/>
  <c r="F1034" i="3"/>
  <c r="Z42" i="74" s="1"/>
  <c r="F1033" i="3"/>
  <c r="S42" i="74" s="1"/>
  <c r="F1032" i="3"/>
  <c r="F1029" i="3"/>
  <c r="F1028" i="3"/>
  <c r="F1027" i="3"/>
  <c r="F1024" i="3"/>
  <c r="Z39" i="74" s="1"/>
  <c r="F1023" i="3"/>
  <c r="S39" i="74" s="1"/>
  <c r="F1022" i="3"/>
  <c r="M39" i="74" s="1"/>
  <c r="F1018" i="3"/>
  <c r="M37" i="74" s="1"/>
  <c r="F1017" i="3"/>
  <c r="Z36" i="74" s="1"/>
  <c r="F1016" i="3"/>
  <c r="S36" i="74" s="1"/>
  <c r="F1015" i="3"/>
  <c r="M36" i="74" s="1"/>
  <c r="F1014" i="3"/>
  <c r="Z34" i="74" s="1"/>
  <c r="F1013" i="3"/>
  <c r="F1012" i="3"/>
  <c r="F1009" i="3"/>
  <c r="F1008" i="3"/>
  <c r="F1007" i="3"/>
  <c r="F1006" i="3"/>
  <c r="F1005" i="3"/>
  <c r="F1004" i="3"/>
  <c r="F1003" i="3"/>
  <c r="F1002" i="3"/>
  <c r="F1001" i="3"/>
  <c r="F998" i="3"/>
  <c r="F997" i="3"/>
  <c r="F996" i="3"/>
  <c r="F995" i="3"/>
  <c r="F994" i="3"/>
  <c r="F993" i="3"/>
  <c r="F991" i="3"/>
  <c r="F990" i="3"/>
  <c r="F989" i="3"/>
  <c r="F988" i="3"/>
  <c r="F987" i="3"/>
  <c r="F986" i="3"/>
  <c r="F985" i="3"/>
  <c r="F984" i="3"/>
  <c r="F983" i="3"/>
  <c r="F980" i="3"/>
  <c r="F979" i="3"/>
  <c r="F978" i="3"/>
  <c r="F977" i="3"/>
  <c r="T31" i="74" s="1"/>
  <c r="F976" i="3"/>
  <c r="Y84" i="126" s="1"/>
  <c r="F975" i="3"/>
  <c r="F974" i="3"/>
  <c r="K64" i="111" s="1"/>
  <c r="F973" i="3"/>
  <c r="G31" i="74" s="1"/>
  <c r="F972" i="3"/>
  <c r="F970" i="3"/>
  <c r="F969" i="3"/>
  <c r="M29" i="74" s="1"/>
  <c r="F968" i="3"/>
  <c r="H29" i="74" s="1"/>
  <c r="F966" i="3"/>
  <c r="H27" i="74" s="1"/>
  <c r="F965" i="3"/>
  <c r="F964" i="3"/>
  <c r="F963" i="3"/>
  <c r="F962" i="3"/>
  <c r="N98" i="111" s="1"/>
  <c r="F960" i="3"/>
  <c r="X22" i="74" s="1"/>
  <c r="F959" i="3"/>
  <c r="S22" i="74" s="1"/>
  <c r="F958" i="3"/>
  <c r="F957" i="3"/>
  <c r="F955" i="3"/>
  <c r="X20" i="74" s="1"/>
  <c r="F954" i="3"/>
  <c r="S20" i="74" s="1"/>
  <c r="F953" i="3"/>
  <c r="N20" i="74" s="1"/>
  <c r="F952" i="3"/>
  <c r="I20" i="74" s="1"/>
  <c r="F950" i="3"/>
  <c r="F949" i="3"/>
  <c r="F948" i="3"/>
  <c r="F947" i="3"/>
  <c r="F945" i="3"/>
  <c r="X17" i="74" s="1"/>
  <c r="F944" i="3"/>
  <c r="S17" i="74" s="1"/>
  <c r="F943" i="3"/>
  <c r="F942" i="3"/>
  <c r="F941" i="3"/>
  <c r="X16" i="74" s="1"/>
  <c r="F940" i="3"/>
  <c r="S16" i="74" s="1"/>
  <c r="F939" i="3"/>
  <c r="N16" i="74" s="1"/>
  <c r="F938" i="3"/>
  <c r="I16" i="74" s="1"/>
  <c r="F934" i="3"/>
  <c r="F933" i="3"/>
  <c r="F930" i="3"/>
  <c r="F928" i="3"/>
  <c r="F927" i="3"/>
  <c r="F926" i="3"/>
  <c r="L8" i="74" s="1"/>
  <c r="F925" i="3"/>
  <c r="G8" i="74" s="1"/>
  <c r="F924" i="3"/>
  <c r="F922" i="3"/>
  <c r="F921" i="3"/>
  <c r="R62" i="111" s="1"/>
  <c r="F920" i="3"/>
  <c r="W6" i="74" s="1"/>
  <c r="F919" i="3"/>
  <c r="Q6" i="74" s="1"/>
  <c r="F918" i="3"/>
  <c r="F917" i="3"/>
  <c r="M6" i="74" s="1"/>
  <c r="F915" i="3"/>
  <c r="F916" i="3" s="1"/>
  <c r="F914" i="3"/>
  <c r="F6" i="74" s="1"/>
  <c r="F911" i="3"/>
  <c r="F910" i="3"/>
  <c r="F909" i="3"/>
  <c r="G4" i="74" s="1"/>
  <c r="F906" i="3"/>
  <c r="F905" i="3"/>
  <c r="F904" i="3"/>
  <c r="F899" i="3"/>
  <c r="W91" i="111" s="1"/>
  <c r="F898" i="3"/>
  <c r="F897" i="3"/>
  <c r="AC110" i="126" s="1"/>
  <c r="AB90" i="126" s="1"/>
  <c r="F895" i="3"/>
  <c r="P91" i="111" s="1"/>
  <c r="F894" i="3"/>
  <c r="V112" i="126" s="1"/>
  <c r="F893" i="3"/>
  <c r="T110" i="126" s="1"/>
  <c r="S90" i="126" s="1"/>
  <c r="F891" i="3"/>
  <c r="I91" i="111" s="1"/>
  <c r="F890" i="3"/>
  <c r="F889" i="3"/>
  <c r="F888" i="3"/>
  <c r="F887" i="3"/>
  <c r="F886" i="3"/>
  <c r="M112" i="126" s="1"/>
  <c r="J90" i="126" s="1"/>
  <c r="F885" i="3"/>
  <c r="I95" i="111" s="1"/>
  <c r="I69" i="111" s="1"/>
  <c r="F884" i="3"/>
  <c r="F883" i="3"/>
  <c r="F876" i="3"/>
  <c r="F875" i="3"/>
  <c r="F871" i="3"/>
  <c r="F870" i="3"/>
  <c r="F869" i="3"/>
  <c r="F867" i="3"/>
  <c r="F866" i="3"/>
  <c r="F865" i="3"/>
  <c r="F864" i="3"/>
  <c r="F863" i="3"/>
  <c r="F862" i="3"/>
  <c r="F857" i="3"/>
  <c r="F856" i="3"/>
  <c r="F855" i="3"/>
  <c r="F858" i="3" s="1"/>
  <c r="F853" i="3"/>
  <c r="F852" i="3"/>
  <c r="F851" i="3"/>
  <c r="F854" i="3" s="1"/>
  <c r="F850" i="3"/>
  <c r="F849" i="3"/>
  <c r="F848" i="3"/>
  <c r="F843" i="3"/>
  <c r="F842" i="3"/>
  <c r="F841" i="3"/>
  <c r="F839" i="3"/>
  <c r="F838" i="3"/>
  <c r="F835" i="3"/>
  <c r="F834" i="3"/>
  <c r="F833" i="3"/>
  <c r="F832" i="3"/>
  <c r="F831" i="3"/>
  <c r="F830" i="3"/>
  <c r="F829" i="3"/>
  <c r="F828" i="3"/>
  <c r="F825" i="3"/>
  <c r="F824" i="3"/>
  <c r="F823" i="3"/>
  <c r="F822" i="3"/>
  <c r="F821" i="3"/>
  <c r="F820" i="3"/>
  <c r="F819" i="3"/>
  <c r="F818" i="3"/>
  <c r="F815" i="3"/>
  <c r="F814" i="3"/>
  <c r="F813" i="3"/>
  <c r="F812" i="3"/>
  <c r="F811" i="3"/>
  <c r="F810" i="3"/>
  <c r="F809" i="3"/>
  <c r="F808" i="3"/>
  <c r="F805" i="3"/>
  <c r="F804" i="3"/>
  <c r="F803" i="3"/>
  <c r="F802" i="3"/>
  <c r="F801" i="3"/>
  <c r="F800" i="3"/>
  <c r="F799" i="3"/>
  <c r="F798" i="3"/>
  <c r="F795" i="3"/>
  <c r="F794" i="3"/>
  <c r="F793" i="3"/>
  <c r="F792" i="3"/>
  <c r="F791" i="3"/>
  <c r="F790" i="3"/>
  <c r="F789" i="3"/>
  <c r="F788" i="3"/>
  <c r="F785" i="3"/>
  <c r="E27" i="111" s="1"/>
  <c r="F784" i="3"/>
  <c r="C34" i="118" s="1"/>
  <c r="F783" i="3"/>
  <c r="F782" i="3"/>
  <c r="P29" i="126" s="1"/>
  <c r="F781" i="3"/>
  <c r="T144" i="73" s="1"/>
  <c r="F780" i="3"/>
  <c r="E31" i="118" s="1"/>
  <c r="F779" i="3"/>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K141" i="73" s="1"/>
  <c r="F646" i="3"/>
  <c r="F645" i="3"/>
  <c r="F644" i="3"/>
  <c r="F643" i="3"/>
  <c r="F642" i="3"/>
  <c r="F641" i="3"/>
  <c r="R136" i="73" s="1"/>
  <c r="F640" i="3"/>
  <c r="J136" i="73" s="1"/>
  <c r="F639" i="3"/>
  <c r="F638" i="3"/>
  <c r="I135" i="73" s="1"/>
  <c r="F637" i="3"/>
  <c r="X134" i="73" s="1"/>
  <c r="F636" i="3"/>
  <c r="R134" i="73" s="1"/>
  <c r="F635" i="3"/>
  <c r="J134" i="73" s="1"/>
  <c r="F634" i="3"/>
  <c r="F631" i="3"/>
  <c r="K133" i="73" s="1"/>
  <c r="F630" i="3"/>
  <c r="I132" i="73" s="1"/>
  <c r="F629" i="3"/>
  <c r="I131" i="73" s="1"/>
  <c r="F628" i="3"/>
  <c r="I130" i="73" s="1"/>
  <c r="F627" i="3"/>
  <c r="I129" i="73" s="1"/>
  <c r="F626" i="3"/>
  <c r="F625" i="3"/>
  <c r="R128" i="73" s="1"/>
  <c r="F624" i="3"/>
  <c r="J128" i="73" s="1"/>
  <c r="F623" i="3"/>
  <c r="F622" i="3"/>
  <c r="F621" i="3"/>
  <c r="F620" i="3"/>
  <c r="R126" i="73" s="1"/>
  <c r="F619" i="3"/>
  <c r="J126" i="73" s="1"/>
  <c r="F618" i="3"/>
  <c r="F615" i="3"/>
  <c r="K125" i="73" s="1"/>
  <c r="F614" i="3"/>
  <c r="I124" i="73" s="1"/>
  <c r="F613" i="3"/>
  <c r="I123" i="73" s="1"/>
  <c r="F612" i="3"/>
  <c r="F611" i="3"/>
  <c r="F610" i="3"/>
  <c r="F609" i="3"/>
  <c r="R120" i="73" s="1"/>
  <c r="F608" i="3"/>
  <c r="J120" i="73" s="1"/>
  <c r="F607" i="3"/>
  <c r="F606" i="3"/>
  <c r="F605" i="3"/>
  <c r="F604" i="3"/>
  <c r="R118" i="73" s="1"/>
  <c r="F603" i="3"/>
  <c r="J118" i="73" s="1"/>
  <c r="F602" i="3"/>
  <c r="F599" i="3"/>
  <c r="K116" i="73" s="1"/>
  <c r="F598" i="3"/>
  <c r="I41" i="126" s="1"/>
  <c r="F597" i="3"/>
  <c r="I40" i="126" s="1"/>
  <c r="F596" i="3"/>
  <c r="F595" i="3"/>
  <c r="F594" i="3"/>
  <c r="E31" i="111" s="1"/>
  <c r="F593" i="3"/>
  <c r="F592" i="3"/>
  <c r="R111" i="73" s="1"/>
  <c r="F591" i="3"/>
  <c r="F590" i="3"/>
  <c r="F589" i="3"/>
  <c r="E29" i="111" s="1"/>
  <c r="F588" i="3"/>
  <c r="G31" i="117" s="1"/>
  <c r="F587" i="3"/>
  <c r="F586" i="3"/>
  <c r="J109" i="73" s="1"/>
  <c r="F585" i="3"/>
  <c r="F582" i="3"/>
  <c r="F581" i="3"/>
  <c r="F580" i="3"/>
  <c r="F579" i="3"/>
  <c r="F578" i="3"/>
  <c r="F577" i="3"/>
  <c r="F576" i="3"/>
  <c r="F574" i="3"/>
  <c r="K106" i="73" s="1"/>
  <c r="F573" i="3"/>
  <c r="I105" i="73" s="1"/>
  <c r="F572" i="3"/>
  <c r="I104" i="73" s="1"/>
  <c r="F571" i="3"/>
  <c r="F570" i="3"/>
  <c r="F569" i="3"/>
  <c r="F568" i="3"/>
  <c r="I100" i="73" s="1"/>
  <c r="F565" i="3"/>
  <c r="K99" i="73" s="1"/>
  <c r="F564" i="3"/>
  <c r="F563" i="3"/>
  <c r="F562" i="3"/>
  <c r="I96" i="73" s="1"/>
  <c r="F561" i="3"/>
  <c r="I95" i="73" s="1"/>
  <c r="F560" i="3"/>
  <c r="I94" i="73" s="1"/>
  <c r="F559" i="3"/>
  <c r="I93" i="73" s="1"/>
  <c r="F556" i="3"/>
  <c r="K92" i="73" s="1"/>
  <c r="F555" i="3"/>
  <c r="F554" i="3"/>
  <c r="F553" i="3"/>
  <c r="F552" i="3"/>
  <c r="I88" i="73" s="1"/>
  <c r="F551" i="3"/>
  <c r="I87" i="73" s="1"/>
  <c r="F550" i="3"/>
  <c r="F547" i="3"/>
  <c r="F546" i="3"/>
  <c r="I83" i="73" s="1"/>
  <c r="F545" i="3"/>
  <c r="I82" i="73" s="1"/>
  <c r="F544" i="3"/>
  <c r="I81" i="73" s="1"/>
  <c r="F543" i="3"/>
  <c r="I80" i="73" s="1"/>
  <c r="F542" i="3"/>
  <c r="I79" i="73" s="1"/>
  <c r="F541" i="3"/>
  <c r="F537" i="3"/>
  <c r="F536" i="3"/>
  <c r="F535" i="3"/>
  <c r="F534" i="3"/>
  <c r="F533" i="3"/>
  <c r="F532" i="3"/>
  <c r="F531" i="3"/>
  <c r="P73" i="73" s="1"/>
  <c r="F530" i="3"/>
  <c r="P72" i="73" s="1"/>
  <c r="F529" i="3"/>
  <c r="P71" i="73" s="1"/>
  <c r="F528" i="3"/>
  <c r="F525" i="3"/>
  <c r="F524" i="3"/>
  <c r="F523" i="3"/>
  <c r="F522" i="3"/>
  <c r="F521" i="3"/>
  <c r="P68" i="73" s="1"/>
  <c r="F520" i="3"/>
  <c r="P67" i="73" s="1"/>
  <c r="F519" i="3"/>
  <c r="P66" i="73" s="1"/>
  <c r="F518" i="3"/>
  <c r="P65" i="73" s="1"/>
  <c r="F517" i="3"/>
  <c r="F516" i="3"/>
  <c r="F513" i="3"/>
  <c r="F512" i="3"/>
  <c r="F511" i="3"/>
  <c r="F510" i="3"/>
  <c r="F509" i="3"/>
  <c r="F508" i="3"/>
  <c r="F507" i="3"/>
  <c r="F506" i="3"/>
  <c r="F505" i="3"/>
  <c r="F504" i="3"/>
  <c r="F501" i="3"/>
  <c r="F500" i="3"/>
  <c r="F499" i="3"/>
  <c r="F498" i="3"/>
  <c r="F497" i="3"/>
  <c r="F496" i="3"/>
  <c r="F495" i="3"/>
  <c r="F494" i="3"/>
  <c r="F493" i="3"/>
  <c r="P58" i="73" s="1"/>
  <c r="F492" i="3"/>
  <c r="P57" i="73" s="1"/>
  <c r="F488" i="3"/>
  <c r="F487" i="3"/>
  <c r="F486" i="3"/>
  <c r="F485" i="3"/>
  <c r="F484" i="3"/>
  <c r="F483" i="3"/>
  <c r="F482" i="3"/>
  <c r="F481" i="3"/>
  <c r="F480" i="3"/>
  <c r="F479" i="3"/>
  <c r="F478" i="3"/>
  <c r="F477" i="3"/>
  <c r="F476" i="3"/>
  <c r="F475" i="3"/>
  <c r="F474" i="3"/>
  <c r="F471" i="3"/>
  <c r="F470" i="3"/>
  <c r="F469" i="3"/>
  <c r="F468" i="3"/>
  <c r="F467" i="3"/>
  <c r="F466" i="3"/>
  <c r="F465" i="3"/>
  <c r="F464" i="3"/>
  <c r="F463" i="3"/>
  <c r="F462" i="3"/>
  <c r="F461" i="3"/>
  <c r="F460" i="3"/>
  <c r="F459" i="3"/>
  <c r="F458" i="3"/>
  <c r="F457" i="3"/>
  <c r="F454" i="3"/>
  <c r="F453" i="3"/>
  <c r="F452" i="3"/>
  <c r="F451" i="3"/>
  <c r="F450" i="3"/>
  <c r="F449" i="3"/>
  <c r="F448" i="3"/>
  <c r="F447" i="3"/>
  <c r="F446" i="3"/>
  <c r="F445" i="3"/>
  <c r="F444" i="3"/>
  <c r="F443" i="3"/>
  <c r="F442" i="3"/>
  <c r="F441" i="3"/>
  <c r="F440" i="3"/>
  <c r="F437" i="3"/>
  <c r="F436" i="3"/>
  <c r="F435" i="3"/>
  <c r="F434" i="3"/>
  <c r="F433" i="3"/>
  <c r="F432" i="3"/>
  <c r="F431" i="3"/>
  <c r="F430" i="3"/>
  <c r="F429" i="3"/>
  <c r="F428" i="3"/>
  <c r="F427" i="3"/>
  <c r="F426" i="3"/>
  <c r="F425" i="3"/>
  <c r="F424" i="3"/>
  <c r="F423" i="3"/>
  <c r="F420" i="3"/>
  <c r="F419" i="3"/>
  <c r="F418" i="3"/>
  <c r="F417" i="3"/>
  <c r="F416" i="3"/>
  <c r="F415" i="3"/>
  <c r="F414" i="3"/>
  <c r="F413" i="3"/>
  <c r="F412" i="3"/>
  <c r="F411" i="3"/>
  <c r="F410" i="3"/>
  <c r="F409" i="3"/>
  <c r="F408" i="3"/>
  <c r="F407" i="3"/>
  <c r="F406" i="3"/>
  <c r="F403" i="3"/>
  <c r="F402" i="3"/>
  <c r="F401" i="3"/>
  <c r="F400" i="3"/>
  <c r="F399" i="3"/>
  <c r="F398" i="3"/>
  <c r="F397" i="3"/>
  <c r="F396" i="3"/>
  <c r="F395" i="3"/>
  <c r="F394" i="3"/>
  <c r="F393" i="3"/>
  <c r="F392" i="3"/>
  <c r="F391" i="3"/>
  <c r="F390" i="3"/>
  <c r="F389" i="3"/>
  <c r="F386" i="3"/>
  <c r="F385" i="3"/>
  <c r="F384" i="3"/>
  <c r="F383" i="3"/>
  <c r="F382" i="3"/>
  <c r="F381" i="3"/>
  <c r="F380" i="3"/>
  <c r="F379" i="3"/>
  <c r="F378" i="3"/>
  <c r="F377" i="3"/>
  <c r="F376" i="3"/>
  <c r="F375" i="3"/>
  <c r="F374" i="3"/>
  <c r="F373" i="3"/>
  <c r="F372" i="3"/>
  <c r="F369" i="3"/>
  <c r="F368" i="3"/>
  <c r="F367" i="3"/>
  <c r="F366" i="3"/>
  <c r="F365" i="3"/>
  <c r="F364" i="3"/>
  <c r="F363" i="3"/>
  <c r="F362" i="3"/>
  <c r="F361" i="3"/>
  <c r="F360" i="3"/>
  <c r="F359" i="3"/>
  <c r="F358" i="3"/>
  <c r="F357" i="3"/>
  <c r="F356" i="3"/>
  <c r="F355" i="3"/>
  <c r="F352" i="3"/>
  <c r="F351" i="3"/>
  <c r="F350" i="3"/>
  <c r="I51" i="73" s="1"/>
  <c r="F349" i="3"/>
  <c r="I50" i="73" s="1"/>
  <c r="F348" i="3"/>
  <c r="F347" i="3"/>
  <c r="I49" i="73" s="1"/>
  <c r="F346" i="3"/>
  <c r="X48" i="73" s="1"/>
  <c r="F345" i="3"/>
  <c r="F344" i="3"/>
  <c r="F343" i="3"/>
  <c r="F342" i="3"/>
  <c r="I47" i="73" s="1"/>
  <c r="F341" i="3"/>
  <c r="F340" i="3"/>
  <c r="R46" i="73" s="1"/>
  <c r="F339" i="3"/>
  <c r="J46" i="73" s="1"/>
  <c r="F338" i="3"/>
  <c r="F335" i="3"/>
  <c r="F334" i="3"/>
  <c r="F333" i="3"/>
  <c r="I43" i="73" s="1"/>
  <c r="F332" i="3"/>
  <c r="I42" i="73" s="1"/>
  <c r="F331" i="3"/>
  <c r="F330" i="3"/>
  <c r="I41" i="73" s="1"/>
  <c r="F329" i="3"/>
  <c r="X40" i="73" s="1"/>
  <c r="F328" i="3"/>
  <c r="R40" i="73" s="1"/>
  <c r="F327" i="3"/>
  <c r="F326" i="3"/>
  <c r="F325" i="3"/>
  <c r="F324" i="3"/>
  <c r="F323" i="3"/>
  <c r="R38" i="73" s="1"/>
  <c r="F322" i="3"/>
  <c r="J38" i="73" s="1"/>
  <c r="F321" i="3"/>
  <c r="F318" i="3"/>
  <c r="L37" i="73" s="1"/>
  <c r="F317" i="3"/>
  <c r="F316" i="3"/>
  <c r="I35" i="73" s="1"/>
  <c r="F315" i="3"/>
  <c r="I34" i="73" s="1"/>
  <c r="F314" i="3"/>
  <c r="F313" i="3"/>
  <c r="I33" i="73" s="1"/>
  <c r="F312" i="3"/>
  <c r="X32" i="73" s="1"/>
  <c r="F311" i="3"/>
  <c r="F310" i="3"/>
  <c r="F309" i="3"/>
  <c r="F308" i="3"/>
  <c r="F307" i="3"/>
  <c r="F306" i="3"/>
  <c r="R30" i="73" s="1"/>
  <c r="F305" i="3"/>
  <c r="J30" i="73" s="1"/>
  <c r="F304" i="3"/>
  <c r="F301" i="3"/>
  <c r="L28" i="73" s="1"/>
  <c r="F300" i="3"/>
  <c r="I27" i="73" s="1"/>
  <c r="F299" i="3"/>
  <c r="I26" i="73" s="1"/>
  <c r="F298" i="3"/>
  <c r="I25" i="73" s="1"/>
  <c r="F297" i="3"/>
  <c r="F296" i="3"/>
  <c r="I24" i="73" s="1"/>
  <c r="F295" i="3"/>
  <c r="X23" i="73" s="1"/>
  <c r="F294" i="3"/>
  <c r="R23" i="73" s="1"/>
  <c r="F293" i="3"/>
  <c r="J23" i="73" s="1"/>
  <c r="F292" i="3"/>
  <c r="F291" i="3"/>
  <c r="F290" i="3"/>
  <c r="F289" i="3"/>
  <c r="R21" i="73" s="1"/>
  <c r="F288" i="3"/>
  <c r="J21" i="73" s="1"/>
  <c r="F287" i="3"/>
  <c r="F284" i="3"/>
  <c r="F283" i="3"/>
  <c r="F282" i="3"/>
  <c r="F281" i="3"/>
  <c r="F280" i="3"/>
  <c r="F279" i="3"/>
  <c r="F278" i="3"/>
  <c r="F277" i="3"/>
  <c r="F276" i="3"/>
  <c r="F275" i="3"/>
  <c r="F274" i="3"/>
  <c r="F273" i="3"/>
  <c r="F272" i="3"/>
  <c r="F271" i="3"/>
  <c r="F270" i="3"/>
  <c r="F269" i="3"/>
  <c r="F266" i="3"/>
  <c r="F265" i="3"/>
  <c r="F264" i="3"/>
  <c r="F263" i="3"/>
  <c r="F262" i="3"/>
  <c r="F261" i="3"/>
  <c r="F260" i="3"/>
  <c r="F259" i="3"/>
  <c r="F258" i="3"/>
  <c r="F257" i="3"/>
  <c r="F256" i="3"/>
  <c r="F255" i="3"/>
  <c r="F254" i="3"/>
  <c r="F253" i="3"/>
  <c r="F252" i="3"/>
  <c r="F251" i="3"/>
  <c r="F248" i="3"/>
  <c r="F247" i="3"/>
  <c r="F246" i="3"/>
  <c r="F245" i="3"/>
  <c r="F244" i="3"/>
  <c r="F243" i="3"/>
  <c r="F242" i="3"/>
  <c r="F241" i="3"/>
  <c r="F240" i="3"/>
  <c r="F239" i="3"/>
  <c r="F238" i="3"/>
  <c r="F237" i="3"/>
  <c r="F236" i="3"/>
  <c r="F235" i="3"/>
  <c r="F234" i="3"/>
  <c r="F233" i="3"/>
  <c r="F230" i="3"/>
  <c r="F229" i="3"/>
  <c r="F228" i="3"/>
  <c r="F227" i="3"/>
  <c r="F226" i="3"/>
  <c r="F225" i="3"/>
  <c r="F224" i="3"/>
  <c r="F223" i="3"/>
  <c r="F222" i="3"/>
  <c r="F221" i="3"/>
  <c r="F220" i="3"/>
  <c r="F219" i="3"/>
  <c r="F218" i="3"/>
  <c r="F217" i="3"/>
  <c r="F216" i="3"/>
  <c r="F215" i="3"/>
  <c r="F211" i="3"/>
  <c r="F210" i="3"/>
  <c r="F209" i="3"/>
  <c r="F208" i="3"/>
  <c r="F207" i="3"/>
  <c r="E21" i="122" s="1"/>
  <c r="F206" i="3"/>
  <c r="F205" i="3"/>
  <c r="I15" i="73" s="1"/>
  <c r="F204" i="3"/>
  <c r="X14" i="73" s="1"/>
  <c r="F203" i="3"/>
  <c r="P18" i="122" s="1"/>
  <c r="F202" i="3"/>
  <c r="H18" i="122" s="1"/>
  <c r="F201" i="3"/>
  <c r="F200" i="3"/>
  <c r="F199" i="3"/>
  <c r="E17" i="122" s="1"/>
  <c r="F198" i="3"/>
  <c r="F197" i="3"/>
  <c r="F196" i="3"/>
  <c r="J12" i="73" s="1"/>
  <c r="F195" i="3"/>
  <c r="F212" i="3" s="1"/>
  <c r="F192" i="3"/>
  <c r="F191" i="3"/>
  <c r="F190" i="3"/>
  <c r="F189" i="3"/>
  <c r="F188" i="3"/>
  <c r="F187" i="3"/>
  <c r="F186" i="3"/>
  <c r="F185" i="3"/>
  <c r="F184" i="3"/>
  <c r="F181" i="3"/>
  <c r="F180" i="3"/>
  <c r="F179" i="3"/>
  <c r="F178" i="3"/>
  <c r="F177" i="3"/>
  <c r="F176" i="3"/>
  <c r="F175" i="3"/>
  <c r="F174" i="3"/>
  <c r="F173" i="3"/>
  <c r="F170" i="3"/>
  <c r="F169" i="3"/>
  <c r="F168" i="3"/>
  <c r="F159" i="3" s="1"/>
  <c r="F167" i="3"/>
  <c r="F166" i="3"/>
  <c r="F165" i="3"/>
  <c r="F164" i="3"/>
  <c r="F163" i="3"/>
  <c r="F162" i="3"/>
  <c r="F158" i="3"/>
  <c r="F157" i="3"/>
  <c r="F156" i="3"/>
  <c r="F155" i="3"/>
  <c r="F154" i="3"/>
  <c r="F153" i="3"/>
  <c r="F152" i="3"/>
  <c r="F151" i="3"/>
  <c r="F150" i="3"/>
  <c r="F146" i="3"/>
  <c r="F145" i="3"/>
  <c r="F144" i="3"/>
  <c r="F143" i="3"/>
  <c r="F142" i="3"/>
  <c r="F147" i="3" s="1"/>
  <c r="F141" i="3"/>
  <c r="F140" i="3"/>
  <c r="F139" i="3"/>
  <c r="F138" i="3"/>
  <c r="F135" i="3"/>
  <c r="F134" i="3"/>
  <c r="F133" i="3"/>
  <c r="F132" i="3"/>
  <c r="F131" i="3"/>
  <c r="F130" i="3"/>
  <c r="F129" i="3"/>
  <c r="F128" i="3"/>
  <c r="F127" i="3"/>
  <c r="F126" i="3"/>
  <c r="F123" i="3"/>
  <c r="F122" i="3"/>
  <c r="F121" i="3"/>
  <c r="F120" i="3"/>
  <c r="F119" i="3"/>
  <c r="F118" i="3"/>
  <c r="F117" i="3"/>
  <c r="F116" i="3"/>
  <c r="F115" i="3"/>
  <c r="F114" i="3"/>
  <c r="F110" i="3"/>
  <c r="F111" i="3" s="1"/>
  <c r="F109" i="3"/>
  <c r="F108" i="3"/>
  <c r="E20" i="111" s="1"/>
  <c r="F107" i="3"/>
  <c r="H14" i="112" s="1"/>
  <c r="F106" i="3"/>
  <c r="F103" i="3"/>
  <c r="F104" i="3" s="1"/>
  <c r="S36" i="122" s="1"/>
  <c r="F102" i="3"/>
  <c r="F101" i="3"/>
  <c r="F100" i="3"/>
  <c r="F99" i="3"/>
  <c r="F105" i="3" s="1"/>
  <c r="F98" i="3"/>
  <c r="F93" i="3"/>
  <c r="F94" i="3" s="1"/>
  <c r="F92" i="3"/>
  <c r="F91" i="3"/>
  <c r="E15" i="111" s="1"/>
  <c r="F90" i="3"/>
  <c r="E14" i="111" s="1"/>
  <c r="F89" i="3"/>
  <c r="F88" i="3"/>
  <c r="E13" i="111" s="1"/>
  <c r="F85" i="3"/>
  <c r="I6" i="73" s="1"/>
  <c r="F84" i="3"/>
  <c r="I7" i="73" s="1"/>
  <c r="F83" i="3"/>
  <c r="F82" i="3"/>
  <c r="F81" i="3"/>
  <c r="F87" i="3" s="1"/>
  <c r="F80" i="3"/>
  <c r="F95" i="3" s="1"/>
  <c r="F77" i="3"/>
  <c r="F74" i="3"/>
  <c r="F71" i="3"/>
  <c r="F68" i="3"/>
  <c r="F61" i="3"/>
  <c r="F60" i="3"/>
  <c r="F59" i="3"/>
  <c r="F58" i="3"/>
  <c r="F56" i="3"/>
  <c r="Y8" i="111" s="1"/>
  <c r="F55" i="3"/>
  <c r="F54" i="3"/>
  <c r="F53" i="3"/>
  <c r="AD10" i="126" s="1"/>
  <c r="F51" i="3"/>
  <c r="F50" i="3"/>
  <c r="F49" i="3"/>
  <c r="F48" i="3"/>
  <c r="F45" i="3"/>
  <c r="F43" i="3"/>
  <c r="S45" i="126" s="1"/>
  <c r="F41" i="3"/>
  <c r="F40" i="3"/>
  <c r="I36" i="111" s="1"/>
  <c r="F38" i="3"/>
  <c r="F36" i="3"/>
  <c r="F33" i="3"/>
  <c r="F32" i="3"/>
  <c r="F24" i="3"/>
  <c r="F66" i="3" s="1"/>
  <c r="F20" i="3"/>
  <c r="F19" i="3"/>
  <c r="F18" i="3"/>
  <c r="F17" i="3"/>
  <c r="F65" i="3" s="1"/>
  <c r="F13" i="3"/>
  <c r="F14" i="3" s="1"/>
  <c r="F12" i="3"/>
  <c r="F11" i="3"/>
  <c r="F9" i="3"/>
  <c r="M2" i="1" s="1"/>
  <c r="F7" i="3"/>
  <c r="B30" i="1"/>
  <c r="F20" i="1"/>
  <c r="F19" i="1"/>
  <c r="F18" i="1"/>
  <c r="D14" i="1"/>
  <c r="B14" i="1"/>
  <c r="P2" i="1"/>
  <c r="O2" i="1"/>
  <c r="N2" i="1"/>
  <c r="J2" i="1"/>
  <c r="I2" i="1"/>
  <c r="H2" i="1"/>
  <c r="G2" i="1"/>
  <c r="F27" i="3" l="1"/>
  <c r="F1249" i="3"/>
  <c r="F28" i="3"/>
  <c r="F1326" i="3" s="1"/>
  <c r="F1250" i="3"/>
  <c r="F1213" i="3"/>
  <c r="F1264" i="3"/>
  <c r="F1214" i="3"/>
  <c r="F1265" i="3"/>
  <c r="F1266" i="3"/>
  <c r="F63" i="3"/>
  <c r="F26" i="3"/>
  <c r="F1300" i="3" s="1"/>
  <c r="A8" i="120"/>
  <c r="A11" i="112"/>
  <c r="A8" i="117"/>
  <c r="A8" i="118"/>
  <c r="Q49" i="111"/>
  <c r="O49" i="111"/>
  <c r="U66" i="126"/>
  <c r="M49" i="111"/>
  <c r="M66" i="126"/>
  <c r="Q66" i="126"/>
  <c r="J71" i="74"/>
  <c r="R37" i="122"/>
  <c r="H15" i="117"/>
  <c r="H16" i="112"/>
  <c r="I22" i="126"/>
  <c r="J81" i="126"/>
  <c r="G63" i="111"/>
  <c r="M7" i="74"/>
  <c r="I16" i="126"/>
  <c r="F37" i="122"/>
  <c r="C16" i="112"/>
  <c r="C15" i="117"/>
  <c r="E12" i="111"/>
  <c r="C15" i="118"/>
  <c r="F1315" i="3"/>
  <c r="F74" i="74"/>
  <c r="E32" i="111"/>
  <c r="I39" i="126"/>
  <c r="C35" i="117"/>
  <c r="I113" i="73"/>
  <c r="T84" i="126"/>
  <c r="N31" i="74"/>
  <c r="J91" i="126"/>
  <c r="X12" i="73"/>
  <c r="S16" i="122"/>
  <c r="I16" i="73"/>
  <c r="G20" i="122"/>
  <c r="P95" i="111"/>
  <c r="P69" i="111" s="1"/>
  <c r="E18" i="96"/>
  <c r="G18" i="96"/>
  <c r="H18" i="96"/>
  <c r="W69" i="111"/>
  <c r="L46" i="126"/>
  <c r="I38" i="111"/>
  <c r="F786" i="3"/>
  <c r="I23" i="126"/>
  <c r="S38" i="122"/>
  <c r="E18" i="111"/>
  <c r="R109" i="73"/>
  <c r="E31" i="117"/>
  <c r="E17" i="111"/>
  <c r="I110" i="73"/>
  <c r="F1207" i="3"/>
  <c r="E19" i="111"/>
  <c r="O50" i="111"/>
  <c r="AA10" i="126"/>
  <c r="N45" i="126"/>
  <c r="H13" i="118"/>
  <c r="I9" i="73"/>
  <c r="Q31" i="74"/>
  <c r="J72" i="74"/>
  <c r="E39" i="122"/>
  <c r="M50" i="111"/>
  <c r="U64" i="111"/>
  <c r="U67" i="126"/>
  <c r="S115" i="126"/>
  <c r="E18" i="1"/>
  <c r="D18" i="1" s="1"/>
  <c r="B18" i="1" s="1"/>
  <c r="E25" i="1"/>
  <c r="D25" i="1" s="1"/>
  <c r="B25" i="1" s="1"/>
  <c r="F25" i="3"/>
  <c r="F1210" i="3"/>
  <c r="F1263" i="3"/>
  <c r="Q50" i="111"/>
  <c r="P97" i="111"/>
  <c r="J79" i="126"/>
  <c r="C13" i="117"/>
  <c r="C32" i="117"/>
  <c r="I148" i="73"/>
  <c r="Q39" i="122"/>
  <c r="I13" i="73"/>
  <c r="K2" i="1"/>
  <c r="E20" i="1" s="1"/>
  <c r="D20" i="1" s="1"/>
  <c r="B20" i="1" s="1"/>
  <c r="F15" i="3"/>
  <c r="F30" i="3"/>
  <c r="F1217" i="3"/>
  <c r="F1252" i="3"/>
  <c r="I18" i="126"/>
  <c r="P38" i="126"/>
  <c r="J84" i="126"/>
  <c r="D20" i="118"/>
  <c r="R14" i="73"/>
  <c r="I115" i="73"/>
  <c r="Q75" i="74"/>
  <c r="F86" i="3"/>
  <c r="G36" i="122" s="1"/>
  <c r="F1215" i="3"/>
  <c r="F1251" i="3"/>
  <c r="F1267" i="3"/>
  <c r="I37" i="126"/>
  <c r="I114" i="73"/>
  <c r="L2" i="1"/>
  <c r="E26" i="1" s="1"/>
  <c r="D26" i="1" s="1"/>
  <c r="B26" i="1" s="1"/>
  <c r="E16" i="1"/>
  <c r="D16" i="1" s="1"/>
  <c r="B16" i="1" s="1"/>
  <c r="E23" i="1"/>
  <c r="D23" i="1" s="1"/>
  <c r="B23" i="1" s="1"/>
  <c r="E27" i="1"/>
  <c r="D27" i="1" s="1"/>
  <c r="B27" i="1" s="1"/>
  <c r="F16" i="3"/>
  <c r="F1253" i="3"/>
  <c r="F1312" i="3"/>
  <c r="I19" i="126"/>
  <c r="O84" i="126"/>
  <c r="D19" i="117"/>
  <c r="C36" i="117"/>
  <c r="I143" i="73"/>
  <c r="F29" i="3"/>
  <c r="F64" i="111"/>
  <c r="D20" i="117"/>
  <c r="C37" i="117"/>
  <c r="C30" i="118"/>
  <c r="N144" i="73"/>
  <c r="E19" i="1"/>
  <c r="D19" i="1" s="1"/>
  <c r="B19" i="1" s="1"/>
  <c r="F1338" i="3" l="1"/>
  <c r="F1337" i="3"/>
  <c r="F1322" i="3"/>
  <c r="F1324" i="3"/>
  <c r="F1323" i="3"/>
  <c r="F1339" i="3"/>
  <c r="F1325" i="3"/>
  <c r="F1340" i="3"/>
  <c r="F1341" i="3"/>
  <c r="F1299" i="3"/>
  <c r="F1294" i="3"/>
  <c r="F1303" i="3"/>
  <c r="F1295" i="3"/>
  <c r="F1304" i="3"/>
  <c r="F1289" i="3"/>
  <c r="F1305" i="3"/>
  <c r="F1288" i="3"/>
  <c r="F1290" i="3"/>
  <c r="F1293" i="3"/>
  <c r="F1298" i="3"/>
  <c r="C24" i="112"/>
  <c r="G25" i="120"/>
  <c r="D17" i="117"/>
  <c r="D17" i="118"/>
  <c r="E21" i="1"/>
  <c r="D21" i="1" s="1"/>
  <c r="B21" i="1" s="1"/>
  <c r="E15" i="1"/>
  <c r="D15" i="1" s="1"/>
  <c r="B15" i="1" s="1"/>
  <c r="E25" i="120"/>
  <c r="D18" i="117"/>
  <c r="D18" i="118"/>
  <c r="C25" i="112"/>
  <c r="F1273" i="3"/>
  <c r="F1257" i="3"/>
  <c r="F1272" i="3"/>
  <c r="F1256" i="3"/>
  <c r="F1271" i="3"/>
  <c r="F1270" i="3"/>
  <c r="F1259" i="3"/>
  <c r="F1260" i="3"/>
  <c r="F1274" i="3"/>
  <c r="F1258" i="3"/>
  <c r="E22" i="1"/>
  <c r="D22" i="1" s="1"/>
  <c r="B22" i="1" s="1"/>
  <c r="E28" i="1"/>
  <c r="D28" i="1" s="1"/>
  <c r="B28" i="1" s="1"/>
  <c r="E17" i="1"/>
  <c r="D17" i="1" s="1"/>
  <c r="B17" i="1" s="1"/>
  <c r="E24" i="1"/>
  <c r="D24" i="1" s="1"/>
  <c r="B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5" authorId="0" shapeId="0" xr:uid="{00000000-0006-0000-0A00-000001000000}">
      <text>
        <r>
          <rPr>
            <b/>
            <sz val="9"/>
            <color indexed="81"/>
            <rFont val="ＭＳ Ｐゴシック"/>
            <family val="3"/>
            <charset val="128"/>
          </rPr>
          <t>左側のプルダウンを選択すると
自動的に区分内容が表示されます</t>
        </r>
      </text>
    </comment>
    <comment ref="R116" authorId="0" shapeId="0" xr:uid="{00000000-0006-0000-0A00-000002000000}">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73" authorId="0" shapeId="0" xr:uid="{00000000-0006-0000-0B00-000001000000}">
      <text>
        <r>
          <rPr>
            <sz val="12"/>
            <color indexed="81"/>
            <rFont val="ＭＳ Ｐゴシック"/>
            <family val="3"/>
            <charset val="128"/>
            <scheme val="minor"/>
          </rPr>
          <t>【イ．建築主の種別】において「(４)会社」を選択した場合のみ選択記入ください</t>
        </r>
      </text>
    </comment>
    <comment ref="B90" authorId="0" shapeId="0" xr:uid="{00000000-0006-0000-0B00-000002000000}">
      <text>
        <r>
          <rPr>
            <sz val="12"/>
            <color indexed="81"/>
            <rFont val="ＭＳ Ｐ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22" authorId="0" shapeId="0" xr:uid="{00000000-0006-0000-0B00-000003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 ref="B134" authorId="0" shapeId="0" xr:uid="{00000000-0006-0000-0B00-000004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 ref="B146" authorId="0" shapeId="0" xr:uid="{00000000-0006-0000-0B00-000005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1400-000001000000}">
      <text>
        <r>
          <rPr>
            <sz val="9"/>
            <color indexed="81"/>
            <rFont val="ＭＳ Ｐゴシック"/>
            <family val="3"/>
            <charset val="128"/>
          </rPr>
          <t>右クリック貼り付けで
図面添付できます。</t>
        </r>
      </text>
    </comment>
    <comment ref="C20" authorId="0" shapeId="0" xr:uid="{00000000-0006-0000-14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<sst xmlns="http://schemas.openxmlformats.org/spreadsheetml/2006/main" count="6199" uniqueCount="3522">
  <si>
    <t>月</t>
  </si>
  <si>
    <t>その他</t>
  </si>
  <si>
    <t>（</t>
  </si>
  <si>
    <t>）</t>
  </si>
  <si>
    <t>（第一面）</t>
  </si>
  <si>
    <t>郵便番号</t>
  </si>
  <si>
    <t>住所</t>
  </si>
  <si>
    <t>電話番号</t>
  </si>
  <si>
    <t>所在地</t>
  </si>
  <si>
    <t>建築確認</t>
  </si>
  <si>
    <t>確認済証番号</t>
  </si>
  <si>
    <t>確認済証交付年月日</t>
  </si>
  <si>
    <t>（第二面）</t>
  </si>
  <si>
    <t>【1.建築主】</t>
  </si>
  <si>
    <t>(4) 準都市計画区域</t>
  </si>
  <si>
    <t>(5) 都市計画区域及び準都市計画区域外</t>
  </si>
  <si>
    <t>【4.工事種別】</t>
  </si>
  <si>
    <t>(1) 新築</t>
  </si>
  <si>
    <t>(2) 増築</t>
  </si>
  <si>
    <t>(3) 改築</t>
  </si>
  <si>
    <t>(4) 移転</t>
  </si>
  <si>
    <t>【5.主要用途】</t>
  </si>
  <si>
    <t>(1) 居住専用建築物</t>
  </si>
  <si>
    <t>(2) 居住産業併用建築物</t>
  </si>
  <si>
    <t>(3) 産業専用建築物</t>
  </si>
  <si>
    <t>【6.一の建築物ごとの内容】</t>
  </si>
  <si>
    <t>【イ.番号】</t>
  </si>
  <si>
    <t>)</t>
  </si>
  <si>
    <t>【ロ.用途】</t>
  </si>
  <si>
    <t>(1)</t>
  </si>
  <si>
    <t>事務所等</t>
  </si>
  <si>
    <t>(2)</t>
  </si>
  <si>
    <t>物品販売業を営</t>
  </si>
  <si>
    <t>む店舗等</t>
  </si>
  <si>
    <t>(3)</t>
  </si>
  <si>
    <t>工場、作業場</t>
  </si>
  <si>
    <t>(4)</t>
  </si>
  <si>
    <t>倉庫</t>
  </si>
  <si>
    <t>(5)</t>
  </si>
  <si>
    <t>学校</t>
  </si>
  <si>
    <t>(6)</t>
  </si>
  <si>
    <t>病院、診療所</t>
  </si>
  <si>
    <t>(9)</t>
  </si>
  <si>
    <t>【ハ.工事部分の構造】</t>
  </si>
  <si>
    <t>木造</t>
  </si>
  <si>
    <t>鉄骨鉄筋コンク</t>
  </si>
  <si>
    <t>リート造</t>
  </si>
  <si>
    <t>鉄筋コンクリー</t>
  </si>
  <si>
    <t>ト造</t>
  </si>
  <si>
    <t>鉄骨造</t>
  </si>
  <si>
    <t>コンクリートブ</t>
  </si>
  <si>
    <t>ロック造</t>
  </si>
  <si>
    <t>　床面積の合計】</t>
  </si>
  <si>
    <t>万円)</t>
  </si>
  <si>
    <t>【７．新築工事の場合における敷地面積】</t>
  </si>
  <si>
    <t>（第三面）</t>
  </si>
  <si>
    <t>【1.住宅部分の概要】</t>
  </si>
  <si>
    <t>(1) 在来工法</t>
  </si>
  <si>
    <t>(2) プレハブ工法</t>
  </si>
  <si>
    <t>(3) 枠組壁工法</t>
  </si>
  <si>
    <t>(1) 専用住宅</t>
  </si>
  <si>
    <t>(1)一戸建住宅</t>
  </si>
  <si>
    <t>(2)長屋建住宅</t>
  </si>
  <si>
    <t>(2) 併用住宅</t>
  </si>
  <si>
    <t>(3) その他の住宅</t>
  </si>
  <si>
    <t>(1)持家</t>
  </si>
  <si>
    <t xml:space="preserve">)( </t>
  </si>
  <si>
    <t>(2)貸家</t>
  </si>
  <si>
    <t>(3)給与住宅</t>
  </si>
  <si>
    <t>(4)分譲住宅</t>
  </si>
  <si>
    <t xml:space="preserve"> 床面積の合計】</t>
  </si>
  <si>
    <t>（第四面）</t>
  </si>
  <si>
    <t>【1.主要用途】</t>
  </si>
  <si>
    <t>(1) 老朽して危険があるため</t>
  </si>
  <si>
    <t>(2) その他</t>
  </si>
  <si>
    <t>(1) 木造</t>
  </si>
  <si>
    <t>【4.建築物の数】</t>
  </si>
  <si>
    <t>【5.住宅の戸数】</t>
  </si>
  <si>
    <t>戸</t>
  </si>
  <si>
    <t>㎡</t>
  </si>
  <si>
    <t>構造</t>
  </si>
  <si>
    <t>【2.代理者】</t>
  </si>
  <si>
    <t>出力シート名</t>
  </si>
  <si>
    <t>**_output_sheetname</t>
  </si>
  <si>
    <t>cst__output_sheetname</t>
  </si>
  <si>
    <t>タイトル</t>
  </si>
  <si>
    <t>**_output_title</t>
  </si>
  <si>
    <t>cst__output_title</t>
  </si>
  <si>
    <t>第三面</t>
  </si>
  <si>
    <t>建築主</t>
  </si>
  <si>
    <t>役職</t>
  </si>
  <si>
    <t>会社名</t>
  </si>
  <si>
    <t>氏名</t>
  </si>
  <si>
    <t>事務所 資格</t>
  </si>
  <si>
    <t>事務所名</t>
  </si>
  <si>
    <t>主要用途</t>
  </si>
  <si>
    <t>フリガナ</t>
  </si>
  <si>
    <t>引受番号</t>
  </si>
  <si>
    <t>引受日</t>
  </si>
  <si>
    <t>確認済証交付日</t>
  </si>
  <si>
    <t>代理者</t>
  </si>
  <si>
    <t>施工者</t>
  </si>
  <si>
    <t>備考（建築物名称）</t>
  </si>
  <si>
    <t>第四面</t>
  </si>
  <si>
    <t>営業所名</t>
  </si>
  <si>
    <t>内外の別</t>
  </si>
  <si>
    <t>工事種別</t>
  </si>
  <si>
    <t>階数－地上</t>
  </si>
  <si>
    <t>階数－地下</t>
  </si>
  <si>
    <t>構造の一部</t>
  </si>
  <si>
    <t>高さ－最高の高さ</t>
  </si>
  <si>
    <t>高さ－最高の軒の高さ</t>
  </si>
  <si>
    <t>一戸建ての住宅</t>
  </si>
  <si>
    <t>新築</t>
  </si>
  <si>
    <t>項目名</t>
  </si>
  <si>
    <t>セル名</t>
  </si>
  <si>
    <t>データ</t>
  </si>
  <si>
    <t>Customセル名</t>
  </si>
  <si>
    <t>Customデータ</t>
  </si>
  <si>
    <t>**wsjob_TARGET_KIND__label</t>
  </si>
  <si>
    <t>**shinsei_UKETUKE_NO</t>
  </si>
  <si>
    <t>**shinsei_HIKIUKE_DATE</t>
  </si>
  <si>
    <t>**shinsei_ISSUE_NO</t>
  </si>
  <si>
    <t>**wskakunin_owner1_NAME</t>
  </si>
  <si>
    <t>**wskakunin_owner1_NAME_KANA</t>
  </si>
  <si>
    <t>**wskakunin_owner1_ZIP</t>
  </si>
  <si>
    <t>**wskakunin_owner1__address</t>
  </si>
  <si>
    <t>**wskakunin_owner1_TEL</t>
  </si>
  <si>
    <t>**wskakunin_dairi1_NAME</t>
  </si>
  <si>
    <t>**wskakunin_dairi1_NAME_KANA</t>
  </si>
  <si>
    <t>**wskakunin_dairi1_JIMU_NAME</t>
  </si>
  <si>
    <t>**wskakunin_dairi1_ZIP</t>
  </si>
  <si>
    <t>**wskakunin_dairi1__address</t>
  </si>
  <si>
    <t>**wskakunin_dairi1_TEL</t>
  </si>
  <si>
    <t>**wskakunin_sekkei1__sikaku</t>
  </si>
  <si>
    <t>**wskakunin_sekkei1_NAME</t>
  </si>
  <si>
    <t>**wskakunin_sekkei1_JIMU_NAME</t>
  </si>
  <si>
    <t>**wskakunin_sekkei1_ZIP</t>
  </si>
  <si>
    <t>cst_shinsei_UKETUKE_NO</t>
  </si>
  <si>
    <t>cst_shinsei_HIKIUKE_DATE</t>
  </si>
  <si>
    <t>cst_shinsei_ISSUE_DATE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</si>
  <si>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</si>
  <si>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</si>
  <si>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</si>
  <si>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</si>
  <si>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</si>
  <si>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</si>
  <si>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</si>
  <si>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</si>
  <si>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</si>
  <si>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</si>
  <si>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会社名&lt;改行&gt;
役職&lt;スペース&gt;氏名</t>
  </si>
  <si>
    <t>役職&lt;スペース&gt;氏名</t>
  </si>
  <si>
    <t>会社名&lt;スペース&gt;役職&lt;スペース&gt;氏名</t>
  </si>
  <si>
    <t>会社名&lt;スペース&gt;氏名</t>
  </si>
  <si>
    <t>会社名フリガナ</t>
  </si>
  <si>
    <t>役職フリガナ</t>
  </si>
  <si>
    <t>氏名フリガナ</t>
  </si>
  <si>
    <t>会社名フリガナ&lt;スペース&gt;役職フリガナ&lt;スペース&gt;氏名フリガナ</t>
  </si>
  <si>
    <t>cst_wskakunin_dairi1_JIMU_NAME</t>
  </si>
  <si>
    <t>cst_wskakunin_dairi1_ZIP</t>
  </si>
  <si>
    <t>cst_wskakunin_dairi1__address</t>
  </si>
  <si>
    <t>cst_wskakunin_dairi1_TEL</t>
  </si>
  <si>
    <t>cst_wskakunin_sekkei1_NAME</t>
  </si>
  <si>
    <t>cst_wskakunin_sekkei1_JIMU__sikaku</t>
  </si>
  <si>
    <t>cst_wskakunin_sekkei1_JIMU_NAME</t>
  </si>
  <si>
    <t>cst_wskakunin_sekkei1_ZIP</t>
  </si>
  <si>
    <t>cst_wsjob_TARGET_KIND__label</t>
  </si>
  <si>
    <t>cst_shinsei_ISSUE_NO</t>
  </si>
  <si>
    <t>cst_wskakunin_owner1__space</t>
  </si>
  <si>
    <t>cst_wskakunin_owner1__space2</t>
  </si>
  <si>
    <t>cst_wskakunin_dairi1__space</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</si>
  <si>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</si>
  <si>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</si>
  <si>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</si>
  <si>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</si>
  <si>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</si>
  <si>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</si>
  <si>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</si>
  <si>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</si>
  <si>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</si>
  <si>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</si>
  <si>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</si>
  <si>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</si>
  <si>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</si>
  <si>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</si>
  <si>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</si>
  <si>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</si>
  <si>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</si>
  <si>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</si>
  <si>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</si>
  <si>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</si>
  <si>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</si>
  <si>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</si>
  <si>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</si>
  <si>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</si>
  <si>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</si>
  <si>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</si>
  <si>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</si>
  <si>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</si>
  <si>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</si>
  <si>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</si>
  <si>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</si>
  <si>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</si>
  <si>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</si>
  <si>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</si>
  <si>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</si>
  <si>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</si>
  <si>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</si>
  <si>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</si>
  <si>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</si>
  <si>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</si>
  <si>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</si>
  <si>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</si>
  <si>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</si>
  <si>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</si>
  <si>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</si>
  <si>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</si>
  <si>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</si>
  <si>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</si>
  <si>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</si>
  <si>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</si>
  <si>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</si>
  <si>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</si>
  <si>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</si>
  <si>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</si>
  <si>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</si>
  <si>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</si>
  <si>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</si>
  <si>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</si>
  <si>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</si>
  <si>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</si>
  <si>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</si>
  <si>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</si>
  <si>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</si>
  <si>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</si>
  <si>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</si>
  <si>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</si>
  <si>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</si>
  <si>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</si>
  <si>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</si>
  <si>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</si>
  <si>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</si>
  <si>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</si>
  <si>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</si>
  <si>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</si>
  <si>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</si>
  <si>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</si>
  <si>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</si>
  <si>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</si>
  <si>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</si>
  <si>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</si>
  <si>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</si>
  <si>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</si>
  <si>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</si>
  <si>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</si>
  <si>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</si>
  <si>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</si>
  <si>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</si>
  <si>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</si>
  <si>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</si>
  <si>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</si>
  <si>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</si>
  <si>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</si>
  <si>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</si>
  <si>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</si>
  <si>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</si>
  <si>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</si>
  <si>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</si>
  <si>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</si>
  <si>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</si>
  <si>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</si>
  <si>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</si>
  <si>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</si>
  <si>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</si>
  <si>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</si>
  <si>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</si>
  <si>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</si>
  <si>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</si>
  <si>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</si>
  <si>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</si>
  <si>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</si>
  <si>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</si>
  <si>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</si>
  <si>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</si>
  <si>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</si>
  <si>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</si>
  <si>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</si>
  <si>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</si>
  <si>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</si>
  <si>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</si>
  <si>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</si>
  <si>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</si>
  <si>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</si>
  <si>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</si>
  <si>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</si>
  <si>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</si>
  <si>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</si>
  <si>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</si>
  <si>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</si>
  <si>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</si>
  <si>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</si>
  <si>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</si>
  <si>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</si>
  <si>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</si>
  <si>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</si>
  <si>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</si>
  <si>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</si>
  <si>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</si>
  <si>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</si>
  <si>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</si>
  <si>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</si>
  <si>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</si>
  <si>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</si>
  <si>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</si>
  <si>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</si>
  <si>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</si>
  <si>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</si>
  <si>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</si>
  <si>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</si>
  <si>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</si>
  <si>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</si>
  <si>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</si>
  <si>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</si>
  <si>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</si>
  <si>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</si>
  <si>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</si>
  <si>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</si>
  <si>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</si>
  <si>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</si>
  <si>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</si>
  <si>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</si>
  <si>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</si>
  <si>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</si>
  <si>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</si>
  <si>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</si>
  <si>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</si>
  <si>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</si>
  <si>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</si>
  <si>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</si>
  <si>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</si>
  <si>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</si>
  <si>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</si>
  <si>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</si>
  <si>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</si>
  <si>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</si>
  <si>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</si>
  <si>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</si>
  <si>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</si>
  <si>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</si>
  <si>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</si>
  <si>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</si>
  <si>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</si>
  <si>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</si>
  <si>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</si>
  <si>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</si>
  <si>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</si>
  <si>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</si>
  <si>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</si>
  <si>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</si>
  <si>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</si>
  <si>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</si>
  <si>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</si>
  <si>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</si>
  <si>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</si>
  <si>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</si>
  <si>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</si>
  <si>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</si>
  <si>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</si>
  <si>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</si>
  <si>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</si>
  <si>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</si>
  <si>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</si>
  <si>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</si>
  <si>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</si>
  <si>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</si>
  <si>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</si>
  <si>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</si>
  <si>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</si>
  <si>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</si>
  <si>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</si>
  <si>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</si>
  <si>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</si>
  <si>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</si>
  <si>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</si>
  <si>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</si>
  <si>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</si>
  <si>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</si>
  <si>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</si>
  <si>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</si>
  <si>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</si>
  <si>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</si>
  <si>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</si>
  <si>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</si>
  <si>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</si>
  <si>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</si>
  <si>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</si>
  <si>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</si>
  <si>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</si>
  <si>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</si>
  <si>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</si>
  <si>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</si>
  <si>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</si>
  <si>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</si>
  <si>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</si>
  <si>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</si>
  <si>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</si>
  <si>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</si>
  <si>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</si>
  <si>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</si>
  <si>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</si>
  <si>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</si>
  <si>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</si>
  <si>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</si>
  <si>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</si>
  <si>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</si>
  <si>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</si>
  <si>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</si>
  <si>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</si>
  <si>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</si>
  <si>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</si>
  <si>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</si>
  <si>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都市計画区域内</t>
  </si>
  <si>
    <t>準都市計画区域内</t>
  </si>
  <si>
    <t>都市計画区域及び準都市計画区域内準都市計画区域外</t>
  </si>
  <si>
    <t>区域内の分類</t>
  </si>
  <si>
    <t>市街化区域</t>
  </si>
  <si>
    <t>市街化調整区域</t>
  </si>
  <si>
    <t>区域区分非設定</t>
  </si>
  <si>
    <t>防火地域</t>
  </si>
  <si>
    <t>準防火地域</t>
  </si>
  <si>
    <t>法第22条区域</t>
  </si>
  <si>
    <t>増築</t>
  </si>
  <si>
    <t>改築</t>
  </si>
  <si>
    <t>移転</t>
  </si>
  <si>
    <t>説明</t>
  </si>
  <si>
    <t>年</t>
  </si>
  <si>
    <t>日</t>
  </si>
  <si>
    <t>第</t>
  </si>
  <si>
    <t>号</t>
  </si>
  <si>
    <t>地上</t>
  </si>
  <si>
    <t>階</t>
  </si>
  <si>
    <t>地下</t>
  </si>
  <si>
    <t>**wskakunin_owner1_JIMU_NAME</t>
  </si>
  <si>
    <t>cst_wskakunin_owner1_JIMU_NAME</t>
  </si>
  <si>
    <t>**wskakunin_owner1_JIMU_NAME_KANA</t>
  </si>
  <si>
    <t>cst_wskakunin_owner1_JIMU_NAME_KANA</t>
  </si>
  <si>
    <t>**wskakunin_owner1_POST</t>
  </si>
  <si>
    <t>**wskakunin_owner1_POST_KANA</t>
  </si>
  <si>
    <t>cst_wskakunin_owner1_POST_KANA</t>
  </si>
  <si>
    <t>cst_wskakunin_owner1__space_KANA</t>
  </si>
  <si>
    <t>**wsjob_JOB_KIND</t>
  </si>
  <si>
    <t>cst_wsjob_JOB_KIND</t>
  </si>
  <si>
    <t>**wsjob_TARGET_KIND</t>
  </si>
  <si>
    <t>cst_wsjob_TARGET_KIND</t>
  </si>
  <si>
    <t>cst_wskakunin_SHINSEI_DATE</t>
  </si>
  <si>
    <t>**shinsei_ISSUE_DATE</t>
  </si>
  <si>
    <t>申請日</t>
  </si>
  <si>
    <t>シート名
※重複不可</t>
  </si>
  <si>
    <t>※最後にNoObjectを記述</t>
  </si>
  <si>
    <t>備考</t>
  </si>
  <si>
    <t>showsheetflag_****
  1=表示
  0=削除
 -1=非表示
 -2=シート非表示（再表示不可）</t>
  </si>
  <si>
    <t>dSHEET</t>
  </si>
  <si>
    <t>DATA</t>
  </si>
  <si>
    <t>項目リスト</t>
  </si>
  <si>
    <t>NoObject</t>
  </si>
  <si>
    <t>※このシートをアクティブにして保存すること</t>
  </si>
  <si>
    <t xml:space="preserve"> </t>
  </si>
  <si>
    <t>申請者名</t>
  </si>
  <si>
    <t>申請者</t>
  </si>
  <si>
    <t>cst_wskakunin_APPLICANT_NAME</t>
  </si>
  <si>
    <t>直前の確認申請情報</t>
  </si>
  <si>
    <t>確認済証交付者</t>
  </si>
  <si>
    <t>計画変更の概要</t>
  </si>
  <si>
    <t>**wskakunin_LAST_ISSUE_NO</t>
  </si>
  <si>
    <t>cst_wskakunin_LAST_ISSUE_NO</t>
  </si>
  <si>
    <t>**wskakunin_LAST_ISSUE_DATE</t>
  </si>
  <si>
    <t>cst_wskakunin_LAST_ISSUE_DATE</t>
  </si>
  <si>
    <t>**wskakunin_LAST_ISSUE_NAME</t>
  </si>
  <si>
    <t>cst_wskakunin_LAST_ISSUE_NAME</t>
  </si>
  <si>
    <t>**wskakunin_P1_HENKOU_GAIYOU</t>
  </si>
  <si>
    <t>cst_wskakunin_P1_HENKOU_GAIYOU</t>
  </si>
  <si>
    <t>建築工事届</t>
  </si>
  <si>
    <t>配置図</t>
  </si>
  <si>
    <t>ルート１</t>
  </si>
  <si>
    <t>有</t>
  </si>
  <si>
    <t>％</t>
  </si>
  <si>
    <t>川崎市条例第6条第2項ただし書き許可：</t>
  </si>
  <si>
    <t>災害危険区域：</t>
  </si>
  <si>
    <t>都市計画法第53条許可：</t>
  </si>
  <si>
    <t>都市計画法第43条許可：</t>
  </si>
  <si>
    <t>風致地区：</t>
  </si>
  <si>
    <t>地区計画：</t>
  </si>
  <si>
    <t>法第53条の2第1項第3号の許可</t>
  </si>
  <si>
    <t>公告：</t>
  </si>
  <si>
    <t>（平成</t>
  </si>
  <si>
    <t>宅造検査済：　</t>
  </si>
  <si>
    <t>変更許可：</t>
  </si>
  <si>
    <t>開発完了公告：</t>
  </si>
  <si>
    <t>開発検査済：　</t>
  </si>
  <si>
    <t>開発変更許可：</t>
  </si>
  <si>
    <t>トップ</t>
  </si>
  <si>
    <t>確</t>
  </si>
  <si>
    <t>工</t>
  </si>
  <si>
    <t>昇</t>
  </si>
  <si>
    <t>建</t>
  </si>
  <si>
    <t>狭あい道路協議済：</t>
  </si>
  <si>
    <t>鉄骨部の部分において初めて工事を施工する階の建方工事</t>
  </si>
  <si>
    <t>法第43条ただし書き許可：</t>
  </si>
  <si>
    <t>工業専用</t>
  </si>
  <si>
    <t>基礎の配筋工事</t>
  </si>
  <si>
    <t>急傾斜地崩壊危険区域の許可：</t>
  </si>
  <si>
    <t>工業</t>
  </si>
  <si>
    <t>屋根版の配筋工事</t>
  </si>
  <si>
    <t>準工業</t>
  </si>
  <si>
    <t>屋根の小屋組工事及び構造耐力上主要な耐力壁の工事</t>
  </si>
  <si>
    <t>位置指定道路：</t>
  </si>
  <si>
    <t>商業</t>
  </si>
  <si>
    <t>屋根の小屋組工事及び構造耐力上主要な軸組の工事</t>
  </si>
  <si>
    <t>近隣商業</t>
  </si>
  <si>
    <t>２階の床及びこれを支持するはりに鉄筋を配置する工事の工程</t>
  </si>
  <si>
    <t>準住居</t>
  </si>
  <si>
    <t>１階を含む鉄骨建方工事</t>
  </si>
  <si>
    <t>宅地造成に関する工事許可：</t>
  </si>
  <si>
    <t>第2種住居</t>
  </si>
  <si>
    <t>構造計算書一式</t>
  </si>
  <si>
    <t>屋根工事</t>
  </si>
  <si>
    <t>第1種住居</t>
  </si>
  <si>
    <t>構造設計図書一式</t>
  </si>
  <si>
    <t>小屋組完了時</t>
  </si>
  <si>
    <t>第2種中高層住居専用</t>
  </si>
  <si>
    <t>道路側を除く敷地境界 1ｍ）</t>
  </si>
  <si>
    <t>設計図書一式（構造計算書を除く）</t>
  </si>
  <si>
    <t>２級</t>
  </si>
  <si>
    <t>（昭和</t>
  </si>
  <si>
    <t>全軸組緊結完了時</t>
  </si>
  <si>
    <t>第1種中高層住居専用</t>
  </si>
  <si>
    <t>敷地境界1ｍ）</t>
  </si>
  <si>
    <t>特-</t>
  </si>
  <si>
    <t>設計図書一式（構造設計図書を除く）</t>
  </si>
  <si>
    <t>東京都</t>
  </si>
  <si>
    <t>１級</t>
  </si>
  <si>
    <t>変</t>
  </si>
  <si>
    <t>●</t>
  </si>
  <si>
    <t>基礎配筋完了時</t>
  </si>
  <si>
    <t>開発許可：</t>
  </si>
  <si>
    <t>第2種低層住居専用</t>
  </si>
  <si>
    <t>道路境界1ｍ）</t>
  </si>
  <si>
    <t>■</t>
  </si>
  <si>
    <t>般-</t>
  </si>
  <si>
    <t>設計図書一式</t>
  </si>
  <si>
    <t>神奈川県</t>
  </si>
  <si>
    <t>第1種低層住居専用</t>
  </si>
  <si>
    <t xml:space="preserve">    )</t>
  </si>
  <si>
    <t>□</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</si>
  <si>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</si>
  <si>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自転車駐車場</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</si>
  <si>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</si>
  <si>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</si>
  <si>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</si>
  <si>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飲食店</t>
  </si>
  <si>
    <t>百貨店、マーケットその他の物品販売業を営む店舗</t>
  </si>
  <si>
    <t>マージャン屋、ぱちんこ屋、射的場、勝馬投票券発売所、場外車券売場その他これらに類するもの又はカラオケボックスその他これらに類するもの</t>
  </si>
  <si>
    <t>体育館又はスポーツの練習場</t>
  </si>
  <si>
    <t>建築基準法施行令第130条の4第5号に基づき建設大臣が指定する施設</t>
  </si>
  <si>
    <t>公衆便所、休憩所又は路線バスの停留所の上家</t>
  </si>
  <si>
    <t>郵便法の規定により行う郵便の業務の用に供する施設</t>
  </si>
  <si>
    <t>児童福祉施設等</t>
  </si>
  <si>
    <t>老人ホーム、身体障害者福祉ホームその他これらに類するもの</t>
  </si>
  <si>
    <t>博物館その他これに類するもの</t>
  </si>
  <si>
    <t>図書館その他これに類するもの</t>
  </si>
  <si>
    <t>中学校、高等学校又は中等教育学校</t>
  </si>
  <si>
    <t>**wskakunin_dairi1__sikaku</t>
  </si>
  <si>
    <t>2.住居表示</t>
  </si>
  <si>
    <t>4.防火地域</t>
  </si>
  <si>
    <t>5.その他の区域</t>
  </si>
  <si>
    <t>6.道路</t>
  </si>
  <si>
    <t>幅員</t>
  </si>
  <si>
    <t>敷地と接している部分の長さ</t>
  </si>
  <si>
    <t>7.敷地面積</t>
  </si>
  <si>
    <t>建蔽率</t>
  </si>
  <si>
    <t>8.主要用途</t>
  </si>
  <si>
    <t>9.工事種別</t>
  </si>
  <si>
    <t>用途変更</t>
  </si>
  <si>
    <t>10.建築面積</t>
  </si>
  <si>
    <t>申請以外の部分</t>
  </si>
  <si>
    <t>合計</t>
  </si>
  <si>
    <t>11.延べ面積</t>
  </si>
  <si>
    <t>12.建築物の数</t>
  </si>
  <si>
    <t>13.建築物の高さ等</t>
  </si>
  <si>
    <t>他の建築物</t>
  </si>
  <si>
    <t>一部</t>
  </si>
  <si>
    <t>特例の適用の有無</t>
  </si>
  <si>
    <t>14.許可認定等</t>
  </si>
  <si>
    <t>19.備考</t>
  </si>
  <si>
    <t>□、■表示</t>
  </si>
  <si>
    <t>有無表示</t>
  </si>
  <si>
    <t>7.構造計算適合性判定</t>
  </si>
  <si>
    <t>適判名称</t>
  </si>
  <si>
    <t>適判所在地　都道府県</t>
  </si>
  <si>
    <t>適判所在地　市区町村</t>
  </si>
  <si>
    <t>提出状況チェック</t>
  </si>
  <si>
    <t>登録機関</t>
  </si>
  <si>
    <t>建築士登録番号</t>
  </si>
  <si>
    <t>**wskakunin_dairi1_SIKAKU__label</t>
  </si>
  <si>
    <t>**wskakunin_dairi1_KENTIKUSI_NO</t>
  </si>
  <si>
    <t>資格一括</t>
  </si>
  <si>
    <t>資格</t>
  </si>
  <si>
    <t>事務所 資格一括</t>
  </si>
  <si>
    <t>事務所　登録機関</t>
  </si>
  <si>
    <t>事務所　許可番号</t>
  </si>
  <si>
    <t>**wskakunin_dairi1_JIMU__sikaku</t>
  </si>
  <si>
    <t>**wskakunin_dairi1_JIMU_SIKAKU__label</t>
  </si>
  <si>
    <t>**wskakunin_dairi1_JIMU_NO</t>
  </si>
  <si>
    <t>cst_wskakunin_koutei02_KOUTEI_KAISUU</t>
  </si>
  <si>
    <t>cst_wskakunin_koutei02_KOUTEI_DATE</t>
  </si>
  <si>
    <t>cst_wskakunin_koutei02_KOUTEI_TEXT</t>
  </si>
  <si>
    <t>建 築 計 画 概 要 書  （第一面）</t>
  </si>
  <si>
    <t>建築主等の概要</t>
  </si>
  <si>
    <t>【ｲ.氏名のﾌﾘｶﾞﾅ】</t>
  </si>
  <si>
    <t>【ﾛ.氏　　　名】</t>
  </si>
  <si>
    <t>【ﾊ.郵便番号】</t>
  </si>
  <si>
    <t>【ﾆ.住　　　所】</t>
  </si>
  <si>
    <t>【ｲ.資　　　格】</t>
  </si>
  <si>
    <t>建築士</t>
  </si>
  <si>
    <t>登録第</t>
  </si>
  <si>
    <t>【ﾊ.建築士事務所名】</t>
  </si>
  <si>
    <t>建築士事務所</t>
  </si>
  <si>
    <t>知事登録第</t>
  </si>
  <si>
    <t>【ﾆ.郵便番号】</t>
  </si>
  <si>
    <t>【ﾎ.所 在 地】</t>
  </si>
  <si>
    <t>【ﾍ.電話番号】</t>
  </si>
  <si>
    <t>【3.設計者】</t>
  </si>
  <si>
    <t>　　（代表となる設計者）</t>
  </si>
  <si>
    <t>【ﾄ.作成又は確認した設計図書】</t>
  </si>
  <si>
    <t>　　（その他の設計者）</t>
  </si>
  <si>
    <t>　（構造設計一級建築士又は設備設計一級建築士である旨の表示をした者）</t>
  </si>
  <si>
    <t>　上記の設計者のうち、</t>
  </si>
  <si>
    <t>□建築士法第20条の２第１項の表示をした者</t>
  </si>
  <si>
    <t>【ｲ.氏　　　名】</t>
  </si>
  <si>
    <t>【ﾛ.資　　　格】</t>
  </si>
  <si>
    <t>構造設計一級建築士交付第</t>
  </si>
  <si>
    <t>□建築士法第20条の２第３項の表示をした者</t>
  </si>
  <si>
    <t>□建築士法第20条の３第１項の表示をした者</t>
  </si>
  <si>
    <t>設備設計一級建築士交付第</t>
  </si>
  <si>
    <t>□建築士法第20条の３第３項の表示をした者</t>
  </si>
  <si>
    <t>【4.建築設備の設計に関し意見を聴いた者】</t>
  </si>
  <si>
    <t>　　（代表となる建築設備の設計に関し意見を聴いた者）</t>
  </si>
  <si>
    <r>
      <t xml:space="preserve">【ﾛ.勤 </t>
    </r>
    <r>
      <rPr>
        <sz val="6"/>
        <color theme="1"/>
        <rFont val="ＭＳ Ｐ明朝"/>
        <family val="1"/>
        <charset val="128"/>
      </rPr>
      <t xml:space="preserve"> </t>
    </r>
    <r>
      <rPr>
        <sz val="9"/>
        <color theme="1"/>
        <rFont val="ＭＳ Ｐ明朝"/>
        <family val="1"/>
        <charset val="128"/>
      </rPr>
      <t xml:space="preserve">務 </t>
    </r>
    <r>
      <rPr>
        <sz val="6"/>
        <color theme="1"/>
        <rFont val="ＭＳ Ｐ明朝"/>
        <family val="1"/>
        <charset val="128"/>
      </rPr>
      <t xml:space="preserve"> </t>
    </r>
    <r>
      <rPr>
        <sz val="9"/>
        <color theme="1"/>
        <rFont val="ＭＳ Ｐ明朝"/>
        <family val="1"/>
        <charset val="128"/>
      </rPr>
      <t>先】</t>
    </r>
  </si>
  <si>
    <t>【ﾆ.所 在 地】</t>
  </si>
  <si>
    <t>【ﾎ.電話番号】</t>
  </si>
  <si>
    <t>【ﾍ.登録番号】</t>
  </si>
  <si>
    <t>【ﾄ.意見を聴いた設計図書】</t>
  </si>
  <si>
    <t>　　（その他の建築設備の設計に関し意見を聴いた者）</t>
  </si>
  <si>
    <t>【5.工事監理者】</t>
  </si>
  <si>
    <t>　　（代表となる工事監理者）</t>
  </si>
  <si>
    <t>【ﾄ.工事と照合する設計図書】</t>
  </si>
  <si>
    <t>　　（その他の工事監理者）</t>
  </si>
  <si>
    <t>【6.工事施工者】</t>
  </si>
  <si>
    <t>【ﾛ.営業所名】</t>
  </si>
  <si>
    <t>建設業の許可</t>
  </si>
  <si>
    <t>【7.備　　　　考】</t>
  </si>
  <si>
    <r>
      <t>建築計画概要書</t>
    </r>
    <r>
      <rPr>
        <sz val="10"/>
        <color theme="1"/>
        <rFont val="ＭＳ Ｐ明朝"/>
        <family val="1"/>
        <charset val="128"/>
      </rPr>
      <t>　（第二面）</t>
    </r>
  </si>
  <si>
    <t>建築物及びその敷地に関する事項</t>
  </si>
  <si>
    <t>【1.地名地番】</t>
  </si>
  <si>
    <t>【2.住居表示】</t>
  </si>
  <si>
    <t>【3.都市計画区域及び準都市計画区域の内外の別等】</t>
  </si>
  <si>
    <t>【4.防火地域】</t>
  </si>
  <si>
    <t>【5.その他の区域、地域、地区又は街区】</t>
  </si>
  <si>
    <t>【6.道　　　路】</t>
  </si>
  <si>
    <t>【ｲ.幅　　　員】</t>
  </si>
  <si>
    <t>ｍ</t>
  </si>
  <si>
    <t>【ﾛ.敷地と接している部分の長さ】</t>
  </si>
  <si>
    <t>【7.敷地面積】</t>
  </si>
  <si>
    <t>【ｲ.敷地面積】</t>
  </si>
  <si>
    <t>）　（</t>
  </si>
  <si>
    <t>【ﾛ.用途地域等】</t>
  </si>
  <si>
    <t>【ﾊ.建築基準法第 52 条第 1 項及び第 2 項の規定による建築物の容積率】</t>
  </si>
  <si>
    <t>【ﾆ.建築基準法第 53 条第 1 項の規定による建築物の建蔽率】</t>
  </si>
  <si>
    <t>【ﾎ.敷地面積の合計】</t>
  </si>
  <si>
    <t>【ﾍ.敷地に建築可能な延べ面積を敷地面積で除した数値】</t>
  </si>
  <si>
    <t>【ﾄ.敷地に建築可能な建築面積を敷地面積で除した数値】</t>
  </si>
  <si>
    <t>【ﾁ.備　　考】</t>
  </si>
  <si>
    <t>【8.主要用途】</t>
  </si>
  <si>
    <t>（区分</t>
  </si>
  <si>
    <t>【9.工事種別】</t>
  </si>
  <si>
    <t>【10.建築面積】</t>
  </si>
  <si>
    <t>申請部分</t>
  </si>
  <si>
    <t>【11.延べ面積】</t>
  </si>
  <si>
    <t>【ｲ.建築物全体】</t>
  </si>
  <si>
    <r>
      <t>【ﾊ.</t>
    </r>
    <r>
      <rPr>
        <sz val="8"/>
        <color theme="1"/>
        <rFont val="ＭＳ Ｐ明朝"/>
        <family val="1"/>
        <charset val="128"/>
      </rPr>
      <t>エレベーターの昇降路の部分</t>
    </r>
    <r>
      <rPr>
        <sz val="9"/>
        <color theme="1"/>
        <rFont val="ＭＳ Ｐ明朝"/>
        <family val="1"/>
        <charset val="128"/>
      </rPr>
      <t>】</t>
    </r>
  </si>
  <si>
    <t>【12.建築物の数】</t>
  </si>
  <si>
    <t>【ｲ.申請に係る建築物の数】</t>
  </si>
  <si>
    <t>【ﾛ.同一敷地内の他の建築物の数】</t>
  </si>
  <si>
    <t>【13.建築物の高さ等】</t>
  </si>
  <si>
    <t>申請に係る建築物</t>
  </si>
  <si>
    <t>【ｲ.最高の高さ】</t>
  </si>
  <si>
    <t>【ﾛ.階　　　数】</t>
  </si>
  <si>
    <t>【ﾊ.構　　　造】</t>
  </si>
  <si>
    <t>【ﾆ.建築基準法第 56 条第 7 項の規定による特例の適用の有無】</t>
  </si>
  <si>
    <t>【ﾎ.適用があるときは、特例の区分】</t>
  </si>
  <si>
    <t>【14.許可・認定等】</t>
  </si>
  <si>
    <t>【15.工事着手予定年月日】</t>
  </si>
  <si>
    <t>【16.工事完了予定年月日】</t>
  </si>
  <si>
    <t>【17.特定工程工事終了予定年月日】</t>
  </si>
  <si>
    <t>特定工程</t>
  </si>
  <si>
    <t>（第</t>
  </si>
  <si>
    <t>回）</t>
  </si>
  <si>
    <t>【ｲ.特定工程】</t>
  </si>
  <si>
    <t>事務所名＋氏名</t>
  </si>
  <si>
    <t>cst_wskakunin_sekkei1_jimuname_name</t>
  </si>
  <si>
    <t>cst_wskakunin_dairi1_KENTIKUSI_NO</t>
  </si>
  <si>
    <t>cst_wskakunin_dairi1_SIKAKU</t>
  </si>
  <si>
    <t>cst_wskakunin_dairi1_TOUROKU_KIKAN</t>
  </si>
  <si>
    <t>cst_wskakunin_dairi1_JIMU_TOUROKU_KIKAN</t>
  </si>
  <si>
    <t>cst_wskakunin_dairi1_JIMU_NO</t>
  </si>
  <si>
    <t>**wskakunin_sekkei1_JIMU__sikaku</t>
  </si>
  <si>
    <t>**wskakunin_sekkei1_JIMU_SIKAKU__label</t>
  </si>
  <si>
    <t>**wskakunin_sekkei1_JIMU_NO</t>
  </si>
  <si>
    <t>cst_wskakunin_sekkei1_JIMU_TOUROKU_KIKAN</t>
  </si>
  <si>
    <t>cst_wskakunin_sekkei1_JIMU_NO</t>
  </si>
  <si>
    <t>**wskakunin_sekkei1_SIKAKU__label</t>
  </si>
  <si>
    <t>**wskakunin_sekkei1_KENTIKUSI_NO</t>
  </si>
  <si>
    <t>cst_wskakunin_sekkei1__sikaku</t>
  </si>
  <si>
    <t>cst_wskakunin_sekkei1_SIKAKU</t>
  </si>
  <si>
    <t>cst_wskakunin_sekkei1_TOUROKU_KIKAN</t>
  </si>
  <si>
    <t>cst_wskakunin_sekkei1_KENTIKUSI_NO</t>
  </si>
  <si>
    <t>DOC</t>
  </si>
  <si>
    <t>設計図書</t>
  </si>
  <si>
    <t>設計者1</t>
  </si>
  <si>
    <t>設計者2</t>
  </si>
  <si>
    <t>設計者3</t>
  </si>
  <si>
    <t>設計者4</t>
  </si>
  <si>
    <t>【ﾛ.資格】構造設計一級建築士交付番号</t>
  </si>
  <si>
    <t>（代表となる建築設備の設計に関し意見を聴いた者）</t>
  </si>
  <si>
    <t>【ｲ.氏名】</t>
  </si>
  <si>
    <t>【ﾛ.勤務先】</t>
  </si>
  <si>
    <t>【ﾆ.所在地】</t>
  </si>
  <si>
    <t>（その他の建築設備の設計に関し意見を聴いた者１）</t>
  </si>
  <si>
    <t>（その他の建築設備の設計に関し意見を聴いた者２）</t>
  </si>
  <si>
    <t>（その他の建築設備の設計に関し意見を聴いた者３）</t>
  </si>
  <si>
    <t>登録番号</t>
  </si>
  <si>
    <t>－未申請チェック</t>
  </si>
  <si>
    <t>－申請不要チェック</t>
  </si>
  <si>
    <t>－提出済チェック</t>
  </si>
  <si>
    <t>－未提出チェック</t>
  </si>
  <si>
    <t>－提出不要チェック</t>
  </si>
  <si>
    <t>監理者1</t>
  </si>
  <si>
    <t>監理者2</t>
  </si>
  <si>
    <t>監理者3</t>
  </si>
  <si>
    <t>監理者4</t>
  </si>
  <si>
    <t>cst_wskakunin_tekihan01_TEKIHAN_STATE_mishinsei</t>
  </si>
  <si>
    <t>cst_wskakunin_tekihan01_TEKIHAN_STATE_shinseifuyou</t>
  </si>
  <si>
    <t>名称＋都道府県＋市区町村</t>
  </si>
  <si>
    <t>工事期間-年</t>
  </si>
  <si>
    <t>工事期間-月</t>
  </si>
  <si>
    <t>提出不要-理由</t>
  </si>
  <si>
    <t>**wskakunin_APPLICANT_NAME</t>
  </si>
  <si>
    <t>**wskakunin_PAGE1_ALTERATION_NOTE</t>
  </si>
  <si>
    <t>cst_wskakunin_PAGE1_ALTERATION_NOTE</t>
  </si>
  <si>
    <t>FAX番号</t>
  </si>
  <si>
    <t>**wskakunin_dairi1_FAX</t>
  </si>
  <si>
    <t>cst_wskakunin_dairi1_FAX</t>
  </si>
  <si>
    <t>※ 特定施工業者の検索</t>
  </si>
  <si>
    <t>cst_wskakunin_ecotekihan01_FUYOU_CAUSE</t>
  </si>
  <si>
    <t>8.建築物エネルギー消費性能確保計画の提出</t>
  </si>
  <si>
    <t>提出済-機関情報</t>
  </si>
  <si>
    <t>未提出-機関情報</t>
  </si>
  <si>
    <t>敷地面積</t>
  </si>
  <si>
    <t>敷地面積の合計</t>
  </si>
  <si>
    <t>地名地番</t>
  </si>
  <si>
    <t>最高の高さ</t>
  </si>
  <si>
    <t>階数-地上</t>
  </si>
  <si>
    <t>階数-地下</t>
  </si>
  <si>
    <t>特例の区分</t>
  </si>
  <si>
    <t>特例の有無</t>
  </si>
  <si>
    <t>ボックス-有</t>
  </si>
  <si>
    <t>ボックス-無</t>
  </si>
  <si>
    <t>cst_wskakunin_TOKUREI_TAKASA_box_on</t>
  </si>
  <si>
    <t>回数</t>
  </si>
  <si>
    <t>終了予定日</t>
  </si>
  <si>
    <t>区別</t>
  </si>
  <si>
    <t>第１号</t>
  </si>
  <si>
    <t>第２号</t>
  </si>
  <si>
    <t>第３号</t>
  </si>
  <si>
    <t>第４号</t>
  </si>
  <si>
    <t>【ｲ.建築基準法施工令第10条各号に掲げる建築物の区分</t>
  </si>
  <si>
    <t>【2.工事種別】</t>
  </si>
  <si>
    <t>【ﾊ.建築基準法第68条の20第２項の検査の特例に係る認証番号</t>
  </si>
  <si>
    <t>【6.工事着手年月日】</t>
  </si>
  <si>
    <t>【8.特定工程】</t>
  </si>
  <si>
    <t>【ﾛ.特定工程工事終了年月日】</t>
  </si>
  <si>
    <t>【ﾊ.検査対象床面積】</t>
  </si>
  <si>
    <t>【9.今回申請以前の中間検査】</t>
  </si>
  <si>
    <t>【ﾛ.中間検査合格証交付者】</t>
  </si>
  <si>
    <t>【ﾊ.中間検査合格証番号】</t>
  </si>
  <si>
    <t>【ﾆ.交付年月日】</t>
  </si>
  <si>
    <t>【10.今回申請以降の中間検査】</t>
  </si>
  <si>
    <t>【ﾛ.特定工程工事終了予定年月日】</t>
  </si>
  <si>
    <t>【11.確認以降の軽微な変更の概要】</t>
  </si>
  <si>
    <t>【ｲ.変更された設計図書の種類】</t>
  </si>
  <si>
    <t>【ﾛ.変更の概要】</t>
  </si>
  <si>
    <t>**wskakunin_sekkei1__address</t>
  </si>
  <si>
    <t>cst_wskakunin_sekkei1__address</t>
  </si>
  <si>
    <t>**wskakunin_sekkei1_TEL</t>
  </si>
  <si>
    <t>cst_wskakunin_sekkei1_TEL</t>
  </si>
  <si>
    <t>**wskakunin_sekkei1_DOC</t>
  </si>
  <si>
    <t>cst_wskakunin_sekkei1_DOC</t>
  </si>
  <si>
    <t>**wskakunin_sekkei2__sikaku</t>
  </si>
  <si>
    <t>cst_wskakunin_sekkei2__sikaku</t>
  </si>
  <si>
    <t>**wskakunin_sekkei2_SIKAKU__label</t>
  </si>
  <si>
    <t>cst_wskakunin_sekkei2_SIKAKU</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</si>
  <si>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</si>
  <si>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</si>
  <si>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</si>
  <si>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</si>
  <si>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</si>
  <si>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</si>
  <si>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</si>
  <si>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</si>
  <si>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</si>
  <si>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</si>
  <si>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</si>
  <si>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</si>
  <si>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</si>
  <si>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</si>
  <si>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</si>
  <si>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</si>
  <si>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</si>
  <si>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</si>
  <si>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</si>
  <si>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</si>
  <si>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</si>
  <si>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</si>
  <si>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**wskakunin_sekkei3__sikaku</t>
  </si>
  <si>
    <t>cst_wskakunin_sekkei3__sikaku</t>
  </si>
  <si>
    <t>**wskakunin_sekkei3_SIKAKU__label</t>
  </si>
  <si>
    <t>cst_wskakunin_sekkei3_SIKAKU</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</si>
  <si>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</si>
  <si>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</si>
  <si>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</si>
  <si>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</si>
  <si>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</si>
  <si>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</si>
  <si>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</si>
  <si>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</si>
  <si>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</si>
  <si>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</si>
  <si>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</si>
  <si>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</si>
  <si>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</si>
  <si>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</si>
  <si>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</si>
  <si>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</si>
  <si>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</si>
  <si>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</si>
  <si>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</si>
  <si>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</si>
  <si>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</si>
  <si>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</si>
  <si>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**wskakunin_sekkei4__sikaku</t>
  </si>
  <si>
    <t>cst_wskakunin_sekkei4__sikaku</t>
  </si>
  <si>
    <t>**wskakunin_sekkei4_SIKAKU__label</t>
  </si>
  <si>
    <t>cst_wskakunin_sekkei4_SIKAKU</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</si>
  <si>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</si>
  <si>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</si>
  <si>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</si>
  <si>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</si>
  <si>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</si>
  <si>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</si>
  <si>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</si>
  <si>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</si>
  <si>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</si>
  <si>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</si>
  <si>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</si>
  <si>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</si>
  <si>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</si>
  <si>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</si>
  <si>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</si>
  <si>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</si>
  <si>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</si>
  <si>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</si>
  <si>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</si>
  <si>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</si>
  <si>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</si>
  <si>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</si>
  <si>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（構造設計一級建築士又は設備設計一級建築士である旨の表示をした者）</t>
  </si>
  <si>
    <t>建築士法第20条の２第１項の表示をした者</t>
  </si>
  <si>
    <t>**wskakunin_20kouzou101_NAME</t>
  </si>
  <si>
    <t>cst_wskakunin_20kouzou101_NAME</t>
  </si>
  <si>
    <t>建築士法第20条の２第３項の表示をした者</t>
  </si>
  <si>
    <t>**wskakunin_20kouzou301_NAME</t>
  </si>
  <si>
    <t>cst_wskakunin_20kouzou301_NAME</t>
  </si>
  <si>
    <t>建築士法第20条の３第１項の表示をした者</t>
  </si>
  <si>
    <t>**wskakunin_20setubi101_NAME</t>
  </si>
  <si>
    <t>cst_wskakunin_20setubi101_NAME</t>
  </si>
  <si>
    <t>【ﾛ.資格】設備設計一級建築士交付番号</t>
  </si>
  <si>
    <t>**wskakunin_20setubi102_NAME</t>
  </si>
  <si>
    <t>cst_wskakunin_20setubi102_NAME</t>
  </si>
  <si>
    <t>**wskakunin_20setubi103_NAME</t>
  </si>
  <si>
    <t>cst_wskakunin_20setubi103_NAME</t>
  </si>
  <si>
    <t>建築士法第20条の３第３項の表示をした者</t>
  </si>
  <si>
    <t>**wskakunin_20setubi301_NAME</t>
  </si>
  <si>
    <t>cst_wskakunin_20setubi301_NAME</t>
  </si>
  <si>
    <t>**wskakunin_20setubi302_NAME</t>
  </si>
  <si>
    <t>cst_wskakunin_20setubi302_NAME</t>
  </si>
  <si>
    <t>**wskakunin_20setubi303_NAME</t>
  </si>
  <si>
    <t>cst_wskakunin_20setubi303_NAME</t>
  </si>
  <si>
    <t>（代表となる工事監理者）</t>
  </si>
  <si>
    <t>**wskakunin_kanri1__sikaku</t>
  </si>
  <si>
    <t>cst_wskakunin_kanri1__sikaku</t>
  </si>
  <si>
    <t>**wskakunin_kanri1_SIKAKU__label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</si>
  <si>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</si>
  <si>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</si>
  <si>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</si>
  <si>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</si>
  <si>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</si>
  <si>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</si>
  <si>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</si>
  <si>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</si>
  <si>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cst_wskakunin_kanri1_JIMU_TOUROKU_KIKAN</t>
  </si>
  <si>
    <t>**wskakunin_kanri1_JIMU_NO</t>
  </si>
  <si>
    <t>cst_wskakunin_kanri1_JIMU_NO</t>
  </si>
  <si>
    <t>**wskakunin_kanri1_JIMU_NAME</t>
  </si>
  <si>
    <t>cst_wskakunin_kanri1_JIMU_NAME</t>
  </si>
  <si>
    <t>**wskakunin_kanri1_ZIP</t>
  </si>
  <si>
    <t>cst_wskakunin_kanri1_ZIP</t>
  </si>
  <si>
    <t>**wskakunin_kanri1__address</t>
  </si>
  <si>
    <t>cst_wskakunin_kanri1__address</t>
  </si>
  <si>
    <t>**wskakunin_kanri1_TEL</t>
  </si>
  <si>
    <t>cst_wskakunin_kanri1_TEL</t>
  </si>
  <si>
    <t>**wskakunin_kanri1_DOC</t>
  </si>
  <si>
    <t>cst_wskakunin_kanri1_DOC</t>
  </si>
  <si>
    <t>**wskakunin_kanri2__sikaku</t>
  </si>
  <si>
    <t>cst_wskakunin_kanri2__sikaku</t>
  </si>
  <si>
    <t>**wskakunin_kanri2_SIKAKU__label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</si>
  <si>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</si>
  <si>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</si>
  <si>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</si>
  <si>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</si>
  <si>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</si>
  <si>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</si>
  <si>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</si>
  <si>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</si>
  <si>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</si>
  <si>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</si>
  <si>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</si>
  <si>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</si>
  <si>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</si>
  <si>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</si>
  <si>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</si>
  <si>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</si>
  <si>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</si>
  <si>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</si>
  <si>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</si>
  <si>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</si>
  <si>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</si>
  <si>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**wskakunin_kanri3__sikaku</t>
  </si>
  <si>
    <t>cst_wskakunin_kanri3__sikaku</t>
  </si>
  <si>
    <t>**wskakunin_kanri3_SIKAKU__label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</si>
  <si>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</si>
  <si>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</si>
  <si>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</si>
  <si>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</si>
  <si>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</si>
  <si>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</si>
  <si>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</si>
  <si>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</si>
  <si>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</si>
  <si>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</si>
  <si>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</si>
  <si>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</si>
  <si>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</si>
  <si>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</si>
  <si>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</si>
  <si>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</si>
  <si>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</si>
  <si>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</si>
  <si>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</si>
  <si>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</si>
  <si>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</si>
  <si>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**wskakunin_kanri4__sikaku</t>
  </si>
  <si>
    <t>cst_wskakunin_kanri4__sikaku</t>
  </si>
  <si>
    <t>**wskakunin_kanri4_SIKAKU__label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</si>
  <si>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</si>
  <si>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</si>
  <si>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</si>
  <si>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</si>
  <si>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</si>
  <si>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</si>
  <si>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</si>
  <si>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</si>
  <si>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</si>
  <si>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</si>
  <si>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</si>
  <si>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</si>
  <si>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</si>
  <si>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</si>
  <si>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</si>
  <si>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</si>
  <si>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</si>
  <si>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</si>
  <si>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</si>
  <si>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</si>
  <si>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</si>
  <si>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**wskakunin_sekou1_NAME</t>
  </si>
  <si>
    <t>cst_wskakunin_sekou1_NAME</t>
  </si>
  <si>
    <t>**wskakunin_sekou1_SEKOU__sikaku</t>
  </si>
  <si>
    <t>cst_wskakunin_sekou1_SEKOU__sikaku</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</si>
  <si>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</si>
  <si>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</si>
  <si>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</si>
  <si>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</si>
  <si>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</si>
  <si>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</si>
  <si>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</si>
  <si>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</si>
  <si>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</si>
  <si>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</si>
  <si>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</si>
  <si>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</si>
  <si>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</si>
  <si>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**wskakunin_BUILD_NAME</t>
  </si>
  <si>
    <t>cst_wskakunin_BUILD_NAME</t>
  </si>
  <si>
    <t>チェック</t>
  </si>
  <si>
    <t>**wskakunin_tekihan01_TEKIHAN_STATE</t>
  </si>
  <si>
    <t>－申請済チェック</t>
  </si>
  <si>
    <t>cst_wskakunin_tekihan01_TEKIHAN_STATE_shinsei</t>
  </si>
  <si>
    <t>**wskakunin_tekihan01_TEKIHAN_KIKAN_NAME</t>
  </si>
  <si>
    <t>cst_wskakunin_tekihan01_TEKIHAN_KIKAN_NAME</t>
  </si>
  <si>
    <t>**wskakunin_tekihan01_TEKIHAN_KIKAN_KEN__ken</t>
  </si>
  <si>
    <t>cst_wskakunin_tekihan01_TEKIHAN_KIKAN_KEN__ken</t>
  </si>
  <si>
    <t>**wskakunin_tekihan01_TEKIHAN_KIKAN_ADDRESS</t>
  </si>
  <si>
    <t>cst_wskakunin_tekihan01_TEKIHAN_KIKAN_ADDRESS</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</si>
  <si>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</si>
  <si>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</si>
  <si>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</si>
  <si>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</si>
  <si>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</si>
  <si>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</si>
  <si>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</si>
  <si>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</si>
  <si>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**wskakunin_ecotekihan01_TEKIHAN_STATE</t>
  </si>
  <si>
    <t>cst_wskakunin_ecotekihan01_TEKIHAN_STATE_teisyutu</t>
  </si>
  <si>
    <t>cst_wskakunin_ecotekihan01_TEKIHAN_STATE_miteisyutu</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</si>
  <si>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</si>
  <si>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</si>
  <si>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</si>
  <si>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</si>
  <si>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</si>
  <si>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</si>
  <si>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</si>
  <si>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cst_wskakunin_ecotekihan01_teisyutu_kikan_info</t>
  </si>
  <si>
    <t>cst_wskakunin_ecotekihan01_miteisyutu_kikan_info</t>
  </si>
  <si>
    <t>**wskakunin_ecotekihan01_FUYOU_CAUSE</t>
  </si>
  <si>
    <t>**wskakunin_p4_1_youto1_YOUTO</t>
  </si>
  <si>
    <t>cst_wskakunin_p4_1_youto1_YOUTO</t>
  </si>
  <si>
    <t>区分</t>
  </si>
  <si>
    <t>**wskakunin_p4_1_youto1_YOUTO_CODE</t>
  </si>
  <si>
    <t>cst_wskakunin_p4_1_youto1_YOUTO_CODE</t>
  </si>
  <si>
    <t>cst_wskakunin_p4_1_youto1_YOUTO_1</t>
  </si>
  <si>
    <t>物品販売業を営む店舗等</t>
  </si>
  <si>
    <t>cst_wskakunin_p4_1_youto1_YOUTO_2</t>
  </si>
  <si>
    <t>cst_wskakunin_p4_1_youto1_YOUTO_3</t>
  </si>
  <si>
    <t>cst_wskakunin_p4_1_youto1_YOUTO_4</t>
  </si>
  <si>
    <t>cst_wskakunin_p4_1_youto1_YOUTO_5</t>
  </si>
  <si>
    <t>cst_wskakunin_p4_1_youto1_YOUTO_6</t>
  </si>
  <si>
    <t>cst_wskakunin_p4_1_youto1_YOUTO_9</t>
  </si>
  <si>
    <t>**wskakunin_p4_1__kouji</t>
  </si>
  <si>
    <t>cst_wskakunin_p4_1__kouji</t>
  </si>
  <si>
    <t>**wskakunin_p4_1_KAISU_TIKAI_NOZOKU</t>
  </si>
  <si>
    <t>cst_wskakunin_p4_1_KAISU_TIKAI_NOZOKU</t>
  </si>
  <si>
    <t>**wskakunin_p4_1_KAISU_TIKAI</t>
  </si>
  <si>
    <t>cst_wskakunin_p4_1_KAISU_TIKAI</t>
  </si>
  <si>
    <t>**wskakunin_p4_1_KOUZOU1</t>
  </si>
  <si>
    <t>cst_wskakunin_p4_1_KOUZOU1</t>
  </si>
  <si>
    <t>**wskakunin_p4_1_KOUZOU2</t>
  </si>
  <si>
    <t>cst_wskakunin_p4_1_KOUZOU2</t>
  </si>
  <si>
    <t>**wskakunin_p4_1_TAKASA_MAX</t>
  </si>
  <si>
    <t>cst_wskakunin_p4_1_TAKASA_MAX</t>
  </si>
  <si>
    <t>**wskakunin_p4_1_TAKASA_KEN_MAX</t>
  </si>
  <si>
    <t>cst_wskakunin_p4_1_TAKASA_KEN_MAX</t>
  </si>
  <si>
    <t>1.地名地番</t>
  </si>
  <si>
    <t>**wskakunin_BUILD__address</t>
  </si>
  <si>
    <t>cst_wskakunin_BUILD__address</t>
  </si>
  <si>
    <t>**wskakunin_BUILD_KEN__ken</t>
  </si>
  <si>
    <t>cst_wskakunin_BUILD_KEN__ken</t>
  </si>
  <si>
    <t>**wskakunin_BUILD_JYUKYO_ADDRESS</t>
  </si>
  <si>
    <t>cst_wskakunin_BUILD_JYUKYO_ADDRESS</t>
  </si>
  <si>
    <t>3.都市計画区域</t>
  </si>
  <si>
    <t>**wskakunin_KUIKI_TOSI</t>
  </si>
  <si>
    <t>cst_wskakunin_KUIKI_TOSI</t>
  </si>
  <si>
    <t>**wskakunin__kuiki</t>
  </si>
  <si>
    <t>cst_wskakunin__kuiki</t>
  </si>
  <si>
    <t>**wskakunin_KUIKI_SIGAIKA</t>
  </si>
  <si>
    <t>cst_wskakunin_KUIKI_SIGAIKA</t>
  </si>
  <si>
    <t>**wskakunin__tosi_kuiki</t>
  </si>
  <si>
    <t>cst_wskakunin__tosi_kuiki</t>
  </si>
  <si>
    <t>**wskakunin_KUIKI_TYOSEI</t>
  </si>
  <si>
    <t>cst_wskakunin_KUIKI_TYOSEI</t>
  </si>
  <si>
    <t>**wskakunin_KUIKI_HISETTEI</t>
  </si>
  <si>
    <t>cst_wskakunin_KUIKI_HISETTEI</t>
  </si>
  <si>
    <t>**wskakunin_KUIKI_JYUN_TOSHI</t>
  </si>
  <si>
    <t>cst_wskakunin_KUIKI_JYUN_TOSHI</t>
  </si>
  <si>
    <t>**wskakunin_KUIKI_KUIKIGAI</t>
  </si>
  <si>
    <t>cst_wskakunin_KUIKI_KUIKIGAI</t>
  </si>
  <si>
    <t>**wskakunin__bouka</t>
  </si>
  <si>
    <t>cst_wskakunin__bouka</t>
  </si>
  <si>
    <t>**wskakunin_BOUKA_BOUKA</t>
  </si>
  <si>
    <t>cst_wskakunin_BOUKA_BOUKA</t>
  </si>
  <si>
    <t>**wskakunin_BOUKA_JYUN_BOUKA</t>
  </si>
  <si>
    <t>cst_wskakunin_BOUKA_JYUN_BOUKA</t>
  </si>
  <si>
    <t>**wskakunin_BOUKA_NASI</t>
  </si>
  <si>
    <t>cst_wskakunin_BOUKA_NASI</t>
  </si>
  <si>
    <t>**wskakunin_BOUKA_22JYO</t>
  </si>
  <si>
    <t>cst_wskakunin_BOUKA_22JYO</t>
  </si>
  <si>
    <t>**wskakunin_SONOTA_KUIKI</t>
  </si>
  <si>
    <t>cst_wskakunin_wskakunin_SONOTA_KUIKI</t>
  </si>
  <si>
    <t>**wskakunin_DOURO_FUKUIN</t>
  </si>
  <si>
    <t>cst_wskakunin_DOURO_FUKUIN</t>
  </si>
  <si>
    <t>**wskakunin_DOURO_NAGASA</t>
  </si>
  <si>
    <t>cst_wskakunin_DOURO_NAGASA</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</si>
  <si>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</si>
  <si>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</si>
  <si>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</si>
  <si>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</si>
  <si>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</si>
  <si>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</si>
  <si>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</si>
  <si>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</si>
  <si>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</si>
  <si>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</si>
  <si>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</si>
  <si>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</si>
  <si>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</si>
  <si>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</si>
  <si>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</si>
  <si>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</si>
  <si>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</si>
  <si>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</si>
  <si>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</si>
  <si>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</si>
  <si>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</si>
  <si>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</si>
  <si>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</si>
  <si>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</si>
  <si>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</si>
  <si>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</si>
  <si>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</si>
  <si>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</si>
  <si>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</si>
  <si>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</si>
  <si>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</si>
  <si>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</si>
  <si>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</si>
  <si>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</si>
  <si>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</si>
  <si>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</si>
  <si>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</si>
  <si>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</si>
  <si>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</si>
  <si>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</si>
  <si>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</si>
  <si>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</si>
  <si>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</si>
  <si>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</si>
  <si>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</si>
  <si>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</si>
  <si>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</si>
  <si>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</si>
  <si>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</si>
  <si>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</si>
  <si>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</si>
  <si>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</si>
  <si>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</si>
  <si>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</si>
  <si>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</si>
  <si>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</si>
  <si>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</si>
  <si>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</si>
  <si>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</si>
  <si>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</si>
  <si>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</si>
  <si>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</si>
  <si>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</si>
  <si>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</si>
  <si>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</si>
  <si>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</si>
  <si>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CODE</t>
  </si>
  <si>
    <t>**wskakunin_YOUTO_CODE</t>
  </si>
  <si>
    <t>cst_wskakunin_YOUTO_CODE</t>
  </si>
  <si>
    <t>**wskakunin_YOUTO</t>
  </si>
  <si>
    <t>cst_wskakunin_YOUTO</t>
  </si>
  <si>
    <t>**wskakunin__kouji</t>
  </si>
  <si>
    <t>cst_wskakunin__kouji</t>
  </si>
  <si>
    <t>**wskakunin_KOUJI_SINTIKU</t>
  </si>
  <si>
    <t>**wskakunin_KOUJI_ZOUTIKU</t>
  </si>
  <si>
    <t>**wskakunin_KOUJI_KAITIKU</t>
  </si>
  <si>
    <t>**wskakunin_KOUJI_ITEN</t>
  </si>
  <si>
    <t>**wskakunin_KOUJI_YOUTOHENKOU</t>
  </si>
  <si>
    <t>大規模の修繕</t>
  </si>
  <si>
    <t>**wskakunin_KOUJI_DAI_SYUUZEN</t>
  </si>
  <si>
    <t>大規模の模様替</t>
  </si>
  <si>
    <t>**wskakunin_KOUJI_DAI_MOYOUGAE</t>
  </si>
  <si>
    <t>建築設備の設置</t>
  </si>
  <si>
    <t>**wskakuninKOUJI_SETUBI</t>
  </si>
  <si>
    <t>**wskakunin_KENTIKU_MENSEKI_SHINSEI</t>
  </si>
  <si>
    <t>cst_wskakunin_KENTIKU_MENSEKI_SHINSEI</t>
  </si>
  <si>
    <t>**wskakunin_KENTIKU_MENSEKI_IGAI</t>
  </si>
  <si>
    <t>cst_wskakunin_KENTIKU_MENSEKI_IGAI</t>
  </si>
  <si>
    <t>**wskakunin_KENTIKU_MENSEKI_TOTAL</t>
  </si>
  <si>
    <t>cst_wskakunin_KENTIKU_MENSEKI_TOTAL</t>
  </si>
  <si>
    <t>**wskakunin_KENPEI_RITU</t>
  </si>
  <si>
    <t>cst_wskakunin_KENPEI_RITU</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</si>
  <si>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</si>
  <si>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</si>
  <si>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</si>
  <si>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</si>
  <si>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</si>
  <si>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</si>
  <si>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</si>
  <si>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</si>
  <si>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</si>
  <si>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</si>
  <si>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</si>
  <si>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</si>
  <si>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</si>
  <si>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</si>
  <si>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</si>
  <si>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</si>
  <si>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</si>
  <si>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</si>
  <si>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</si>
  <si>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</si>
  <si>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</si>
  <si>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</si>
  <si>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</si>
  <si>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</si>
  <si>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</si>
  <si>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</si>
  <si>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</si>
  <si>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</si>
  <si>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</si>
  <si>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</si>
  <si>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</si>
  <si>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</si>
  <si>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</si>
  <si>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</si>
  <si>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</si>
  <si>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</si>
  <si>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</si>
  <si>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</si>
  <si>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</si>
  <si>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</si>
  <si>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</si>
  <si>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</si>
  <si>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</si>
  <si>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</si>
  <si>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</si>
  <si>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</si>
  <si>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</si>
  <si>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</si>
  <si>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</si>
  <si>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</si>
  <si>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</si>
  <si>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</si>
  <si>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</si>
  <si>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</si>
  <si>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</si>
  <si>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</si>
  <si>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</si>
  <si>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</si>
  <si>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</si>
  <si>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</si>
  <si>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</si>
  <si>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</si>
  <si>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</si>
  <si>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</si>
  <si>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</si>
  <si>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</si>
  <si>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**wskakunin_NOBE_MENSEKI</t>
  </si>
  <si>
    <t>cst_wskakunin_NOBE_MENSEKI</t>
  </si>
  <si>
    <t>**wskakunin_YOUSEKI_RITU</t>
  </si>
  <si>
    <t>cst_wskakunin_YOUSEKI_RITU</t>
  </si>
  <si>
    <t>申請に係る建築物の数</t>
  </si>
  <si>
    <t>**wskakunin_BUILD_SHINSEI_COUNT</t>
  </si>
  <si>
    <t>cst_wskakunin_BUILD_SHINSEI_COUNT</t>
  </si>
  <si>
    <t>同一敷地内の他の建築物の数</t>
  </si>
  <si>
    <t>**wskakunin_BUILD_SONOTA_COUNT</t>
  </si>
  <si>
    <t>cst_wskakunin_BUILD_SONOTA_COUNT</t>
  </si>
  <si>
    <t>**wskakunin_TAKASA_MAX_SHINSEI</t>
  </si>
  <si>
    <t>cst_wskakunin_TAKASA_MAX_SHINSEI</t>
  </si>
  <si>
    <t>**wskakunin_TAKASA_MAX_SONOTA</t>
  </si>
  <si>
    <t>cst_wskakunin_TAKASA_MAX_SONOTA</t>
  </si>
  <si>
    <t>**wskakunin_KAISU_TIJYOU_SHINSEI</t>
  </si>
  <si>
    <t>cst_wskakunin_KAISU_TIJYOU_SHINSEI</t>
  </si>
  <si>
    <t>**wskakunin_KAISU_TIJYOU_SONOTA</t>
  </si>
  <si>
    <t>cst_wskakunin_KAISU_TIJYOU_SONOTA</t>
  </si>
  <si>
    <t>**wskakunin_KAISU_TIKA_SHINSEI__zero</t>
  </si>
  <si>
    <t>cst_wskakunin_KAISU_TIKA_SHINSEI__zero</t>
  </si>
  <si>
    <t>**wskakunin_KAISU_TIKA_SONOTA</t>
  </si>
  <si>
    <t>cst_wskakunin_KAISU_TIKA_SONOTA</t>
  </si>
  <si>
    <t>**wskakunin_KOUZOU1</t>
  </si>
  <si>
    <t>cst_wskakunin_KOUZOU1</t>
  </si>
  <si>
    <t>**wskakunin_KOUZOU2</t>
  </si>
  <si>
    <t>cst_wskakunin_KOUZOU2</t>
  </si>
  <si>
    <t>**wskakunin_TOKUREI_TAKASA</t>
  </si>
  <si>
    <t>cst_wskakunin_TOKUREI_TAKASA</t>
  </si>
  <si>
    <t>cst_wskakunin_TOKUREI_TAKASA_box_off</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</si>
  <si>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</si>
  <si>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</si>
  <si>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</si>
  <si>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</si>
  <si>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</si>
  <si>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</si>
  <si>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</si>
  <si>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</si>
  <si>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</si>
  <si>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15.工事着手予定年月日</t>
  </si>
  <si>
    <t>**wskakunin_KOUJI_TYAKUSYU_YOTEI_DATE</t>
  </si>
  <si>
    <t>cst_wskakunin_KOUJI_TYAKUSYU_YOTEI_DATE</t>
  </si>
  <si>
    <t>16.工事完了予定年月日</t>
  </si>
  <si>
    <t>**wskakunin_KOUJI_KANRYOU_YOTEI_DATE</t>
  </si>
  <si>
    <t>cst_wskakunin_KOUJI_KANRYOU_YOTEI_DATE</t>
  </si>
  <si>
    <t>17.特定工程工事終了予定年月日</t>
  </si>
  <si>
    <t>1.</t>
  </si>
  <si>
    <t>**wskakunin_koutei01_KOUTEI_KAISUU</t>
  </si>
  <si>
    <t>cst_wskakunin_koutei01_KOUTEI_KAISUU</t>
  </si>
  <si>
    <t>**wskakunin_koutei01_KOUTEI_DATE</t>
  </si>
  <si>
    <t>cst_wskakunin_koutei01_KOUTEI_DATE</t>
  </si>
  <si>
    <t>**wskakunin_koutei01_KOUTEI_TEXT</t>
  </si>
  <si>
    <t>cst_wskakunin_koutei01_KOUTEI_TEXT</t>
  </si>
  <si>
    <t>2.</t>
  </si>
  <si>
    <t>**wskakunin_koutei02_KOUTEI_KAISUU</t>
  </si>
  <si>
    <t>**wskakunin_koutei02_KOUTEI_DATE</t>
  </si>
  <si>
    <t>**wskakunin_koutei02_KOUTEI_TEXT</t>
  </si>
  <si>
    <t>3.</t>
  </si>
  <si>
    <t>**wskakunin_koutei03_KOUTEI_KAISUU</t>
  </si>
  <si>
    <t>cst_wskakunin_koutei03_KOUTEI_KAISUU</t>
  </si>
  <si>
    <t>**wskakunin_koutei03_KOUTEI_DATE</t>
  </si>
  <si>
    <t>cst_wskakunin_koutei03_KOUTEI_DATE</t>
  </si>
  <si>
    <t>**wskakunin_koutei03_KOUTEI_TEXT</t>
  </si>
  <si>
    <t>cst_wskakunin_koutei03_KOUTEI_TEXT</t>
  </si>
  <si>
    <t>18.その他必要な事項</t>
  </si>
  <si>
    <t>**wskakunin_P3_SONOTA</t>
  </si>
  <si>
    <t>cst_wskakunin_P3_SONOTA</t>
  </si>
  <si>
    <t>**wskakunin_P3_BIKOU</t>
  </si>
  <si>
    <t>cst_wskakunin_P3_BIKOU</t>
  </si>
  <si>
    <t>中間検査申請</t>
  </si>
  <si>
    <t>完了検査申請</t>
  </si>
  <si>
    <t>申請書種別</t>
  </si>
  <si>
    <t>1=建築物、
2=昇降機、3=建築設備、
4=工作物(88-1)、5=工作物(88-2)</t>
  </si>
  <si>
    <t>申請対象</t>
  </si>
  <si>
    <t>申請書セット種別</t>
  </si>
  <si>
    <t>0=不明な申請、100=基準法、200=適合証明、
300=性能評価</t>
  </si>
  <si>
    <t>*</t>
  </si>
  <si>
    <t>建築物</t>
  </si>
  <si>
    <t>昇降機</t>
  </si>
  <si>
    <t>建築設備</t>
  </si>
  <si>
    <t>工作物(88-1)</t>
  </si>
  <si>
    <t>工作物(88-2)</t>
  </si>
  <si>
    <t>cls_TARGET_KIND_erea</t>
  </si>
  <si>
    <t>cls_TARGET_KIND_base_point</t>
  </si>
  <si>
    <t>cst_DATA</t>
  </si>
  <si>
    <t>計画変更</t>
  </si>
  <si>
    <t>中間検査</t>
  </si>
  <si>
    <t>完了検査</t>
  </si>
  <si>
    <t>その他申請</t>
  </si>
  <si>
    <t>確認申請</t>
  </si>
  <si>
    <t>cls_JOB_KIND_erea</t>
  </si>
  <si>
    <t>cls_JOB_KIND_base_point</t>
  </si>
  <si>
    <t>＜基準法＞
101=確認申請、102=計画変更、103=中間検査、104=完了検査
＜その他申請＞
999=その他申請</t>
  </si>
  <si>
    <t>cst_wsjob_JOB_SET_KIND</t>
  </si>
  <si>
    <t>**wsjob_JOB_SET_KIND</t>
  </si>
  <si>
    <t>cls_JOB_SET_KIND_erea</t>
  </si>
  <si>
    <t>cls_JOB_SET_KIND_base_point</t>
  </si>
  <si>
    <t>不明な申請</t>
  </si>
  <si>
    <t>基準法</t>
  </si>
  <si>
    <t>適合証明</t>
  </si>
  <si>
    <t>性能評価</t>
  </si>
  <si>
    <t>交付日</t>
  </si>
  <si>
    <t>**wskakunin_kyoka##_****</t>
  </si>
  <si>
    <t>根拠となる法令</t>
  </si>
  <si>
    <t>根拠となる法令の条項</t>
  </si>
  <si>
    <t>許可・認定等の番号</t>
  </si>
  <si>
    <t>認可・認定等を受けた日付</t>
  </si>
  <si>
    <t>**wskakunin_kyoka01_JOUKOU</t>
  </si>
  <si>
    <t>**wskakunin_kyoka01_HOUREI</t>
  </si>
  <si>
    <t>**wskakunin_kyoka01_KYOKA_NO</t>
  </si>
  <si>
    <t>**wskakunin_kyoka01_KYOKA_DATE</t>
  </si>
  <si>
    <t>**wskakunin_kyoka01_BIKOU</t>
  </si>
  <si>
    <t>**wskakunin_kyoka02_HOUREI</t>
  </si>
  <si>
    <t>**wskakunin_kyoka02_JOUKOU</t>
  </si>
  <si>
    <t>**wskakunin_kyoka02_KYOKA_NO</t>
  </si>
  <si>
    <t>**wskakunin_kyoka02_KYOKA_DATE</t>
  </si>
  <si>
    <t>**wskakunin_kyoka02_BIKOU</t>
  </si>
  <si>
    <t>**wskakunin_kyoka03_HOUREI</t>
  </si>
  <si>
    <t>**wskakunin_kyoka03_JOUKOU</t>
  </si>
  <si>
    <t>**wskakunin_kyoka03_KYOKA_NO</t>
  </si>
  <si>
    <t>**wskakunin_kyoka03_KYOKA_DATE</t>
  </si>
  <si>
    <t>**wskakunin_kyoka03_BIKOU</t>
  </si>
  <si>
    <t>一括出力</t>
  </si>
  <si>
    <t>許可01一括出力</t>
  </si>
  <si>
    <t>許可03一括出力</t>
  </si>
  <si>
    <t>許可02一括出力</t>
  </si>
  <si>
    <t>cst_wskakunin_kyoka01_HOUREI</t>
  </si>
  <si>
    <t>cst_wskakunin_kyoka02_HOUREI</t>
  </si>
  <si>
    <t>cst_wskakunin_kyoka03_HOUREI</t>
  </si>
  <si>
    <t>cst_wskakunin_kyoka_HOUREI_all</t>
  </si>
  <si>
    <t>現在、３行対応。</t>
  </si>
  <si>
    <t>**wskakunin_TOKUREI_1</t>
  </si>
  <si>
    <t>**wskakunin_TOKUREI_2</t>
  </si>
  <si>
    <t>**wskakunin_TOKUREI_3</t>
  </si>
  <si>
    <t>**wskakunin_TOKUREI_4</t>
  </si>
  <si>
    <t>**wskakunin_KENTIKU_NINSYO_NO</t>
  </si>
  <si>
    <t>**wskakunin_BUILD_ADDRESS</t>
  </si>
  <si>
    <t>cst_wskakunin_BUILD_ADDRESS</t>
  </si>
  <si>
    <t>-都道府県</t>
  </si>
  <si>
    <t>-住所</t>
  </si>
  <si>
    <t>**wskakunin_BUILD_JYUKYO__address</t>
  </si>
  <si>
    <t>**wskakunin_BUILD_JYUKYO_KEN__ken</t>
  </si>
  <si>
    <t>cst_wskakunin_BUILD_JYUKYO__address</t>
  </si>
  <si>
    <t>cst_wskakunin_BUILD_JYUKYO_KEN__ken</t>
  </si>
  <si>
    <t>建築物全体</t>
  </si>
  <si>
    <t>地階の住宅</t>
  </si>
  <si>
    <t>エレベーター</t>
  </si>
  <si>
    <t>共同住宅の共用</t>
  </si>
  <si>
    <t>自動車車庫等の部分</t>
  </si>
  <si>
    <t>備蓄倉庫の部分</t>
  </si>
  <si>
    <t>蓄電池の設置部分</t>
  </si>
  <si>
    <t>自家発電設備</t>
  </si>
  <si>
    <t>貯水槽の設置部分</t>
  </si>
  <si>
    <t>住宅の部分</t>
  </si>
  <si>
    <t>老人ホーム</t>
  </si>
  <si>
    <t>延べ面積</t>
  </si>
  <si>
    <t>**wskakunin_TOKUTEI_KOUTEI</t>
  </si>
  <si>
    <t>**wskakunin_TOKUTEI_KOUJI_KANRYOU_DATE</t>
  </si>
  <si>
    <t>**wskakunin_KENSA_YUKA_MENSEKI</t>
  </si>
  <si>
    <t>**wskakunin_koutei_izen01_KOUTEI_KAISUU</t>
  </si>
  <si>
    <t>**wskakunin_koutei_izen01_KOUTEI_TEXT</t>
  </si>
  <si>
    <t>**wskakunin_koutei_izen01_INTER_ISSUE_NAME</t>
  </si>
  <si>
    <t>**wskakunin_koutei_izen01_INTER_ISSUE_NO</t>
  </si>
  <si>
    <t>**wskakunin_koutei_izen01_INTER_ISSUE_DATE</t>
  </si>
  <si>
    <t>**wskakunin_koutei_izen02_KOUTEI_KAISUU</t>
  </si>
  <si>
    <t>**wskakunin_koutei_izen02_KOUTEI_TEXT</t>
  </si>
  <si>
    <t>**wskakunin_koutei_izen02_INTER_ISSUE_NAME</t>
  </si>
  <si>
    <t>**wskakunin_koutei_izen02_INTER_ISSUE_NO</t>
  </si>
  <si>
    <t>**wskakunin_koutei_izen02_INTER_ISSUE_DATE</t>
  </si>
  <si>
    <t>**wskakunin_koutei_ikou01_KOUTEI_KAISUU</t>
  </si>
  <si>
    <t>**wskakunin_koutei_ikou01_KOUTEI_TEXT</t>
  </si>
  <si>
    <t>**wskakunin_koutei_ikou01_KOUTEI_DATE</t>
  </si>
  <si>
    <t>**wskakunin_koutei_ikou02_KOUTEI_KAISUU</t>
  </si>
  <si>
    <t>**wskakunin_koutei_ikou02_KOUTEI_TEXT</t>
  </si>
  <si>
    <t>**wskakunin_koutei_ikou02_KOUTEI_DATE</t>
  </si>
  <si>
    <t>**wskakunin_sekkei1_TOUROKU_KIKAN__label</t>
  </si>
  <si>
    <t>**wskakunin_sekkei1_JIMU_TOUROKU_KIKAN__label</t>
  </si>
  <si>
    <t>**wskakunin_sekkei2_TOUROKU_KIKAN__label</t>
  </si>
  <si>
    <t>**wskakunin_sekkei2_JIMU_TOUROKU_KIKAN__label</t>
  </si>
  <si>
    <t>**wskakunin_sekkei3_TOUROKU_KIKAN__label</t>
  </si>
  <si>
    <t>**wskakunin_sekkei3_JIMU_TOUROKU_KIKAN__label</t>
  </si>
  <si>
    <t>**wskakunin_sekkei4_TOUROKU_KIKAN__label</t>
  </si>
  <si>
    <t>**wskakunin_sekkei4_JIMU_TOUROKU_KIKAN__label</t>
  </si>
  <si>
    <t>**wskakunin_kanri1_TOUROKU_KIKAN__label</t>
  </si>
  <si>
    <t>**wskakunin_kanri1_JIMU_TOUROKU_KIKAN__label</t>
  </si>
  <si>
    <t>**wskakunin_kanri2_TOUROKU_KIKAN__label</t>
  </si>
  <si>
    <t>**wskakunin_kanri2_JIMU_TOUROKU_KIKAN__label</t>
  </si>
  <si>
    <t>**wskakunin_kanri3_TOUROKU_KIKAN__label</t>
  </si>
  <si>
    <t>**wskakunin_kanri3_JIMU_TOUROKU_KIKAN__label</t>
  </si>
  <si>
    <t>**wskakunin_kanri4_TOUROKU_KIKAN__label</t>
  </si>
  <si>
    <t>**wskakunin_kanri4_JIMU_TOUROKU_KIKAN__label</t>
  </si>
  <si>
    <t>cst_wskakunin_iken1_NAME</t>
  </si>
  <si>
    <t>cst_wskakunin_iken1__address</t>
  </si>
  <si>
    <t>cst_wskakunin_iken1_TEL</t>
  </si>
  <si>
    <t>cst_wskakunin_iken1_DOC</t>
  </si>
  <si>
    <t>**wskakunin_iken1_NAME</t>
  </si>
  <si>
    <t>**wskakunin_iken1_JIMU_NAME</t>
  </si>
  <si>
    <t>**wskakunin_iken1_ZIP</t>
  </si>
  <si>
    <t>**wskakunin_iken1__address</t>
  </si>
  <si>
    <t>**wskakunin_iken1_TEL</t>
  </si>
  <si>
    <t>**wskakunin_iken1_IKEN_NO</t>
  </si>
  <si>
    <t>**wskakunin_iken1_DOC</t>
  </si>
  <si>
    <t>cst_wskakunin_iken1_JIMU_NAME</t>
  </si>
  <si>
    <t>cst_wskakunin_iken1_ZIP</t>
  </si>
  <si>
    <t>cst_wskakunin_iken1_IKEN_NO</t>
  </si>
  <si>
    <t>cst_wskakunin_iken2_NAME</t>
  </si>
  <si>
    <t>cst_wskakunin_iken2__address</t>
  </si>
  <si>
    <t>cst_wskakunin_iken2_TEL</t>
  </si>
  <si>
    <t>cst_wskakunin_iken2_DOC</t>
  </si>
  <si>
    <t>cst_wskakunin_iken2_JIMU_NAME</t>
  </si>
  <si>
    <t>cst_wskakunin_iken2_ZIP</t>
  </si>
  <si>
    <t>cst_wskakunin_iken2_IKEN_NO</t>
  </si>
  <si>
    <t>**wskakunin_iken2_NAME</t>
  </si>
  <si>
    <t>**wskakunin_iken2_JIMU_NAME</t>
  </si>
  <si>
    <t>**wskakunin_iken2_ZIP</t>
  </si>
  <si>
    <t>**wskakunin_iken2__address</t>
  </si>
  <si>
    <t>**wskakunin_iken2_TEL</t>
  </si>
  <si>
    <t>**wskakunin_iken2_IKEN_NO</t>
  </si>
  <si>
    <t>**wskakunin_iken2_DOC</t>
  </si>
  <si>
    <t>**wskakunin_dairi1_JIMU_TOUROKU_KIKAN__label</t>
  </si>
  <si>
    <t>**wskakunin_dairi1_TOUROKU_KIKAN__label</t>
  </si>
  <si>
    <t>cst_wskakunin_iken3_NAME</t>
  </si>
  <si>
    <t>cst_wskakunin_iken3_JIMU_NAME</t>
  </si>
  <si>
    <t>cst_wskakunin_iken3_ZIP</t>
  </si>
  <si>
    <t>cst_wskakunin_iken3__address</t>
  </si>
  <si>
    <t>cst_wskakunin_iken3_TEL</t>
  </si>
  <si>
    <t>cst_wskakunin_iken3_IKEN_NO</t>
  </si>
  <si>
    <t>cst_wskakunin_iken3_DOC</t>
  </si>
  <si>
    <t>cst_wskakunin_iken4_NAME</t>
  </si>
  <si>
    <t>cst_wskakunin_iken4_JIMU_NAME</t>
  </si>
  <si>
    <t>cst_wskakunin_iken4_ZIP</t>
  </si>
  <si>
    <t>cst_wskakunin_iken4__address</t>
  </si>
  <si>
    <t>cst_wskakunin_iken4_TEL</t>
  </si>
  <si>
    <t>cst_wskakunin_iken4_IKEN_NO</t>
  </si>
  <si>
    <t>cst_wskakunin_iken4_DOC</t>
  </si>
  <si>
    <t>**wskakunin_iken3_NAME</t>
  </si>
  <si>
    <t>**wskakunin_iken3_JIMU_NAME</t>
  </si>
  <si>
    <t>**wskakunin_iken3_ZIP</t>
  </si>
  <si>
    <t>**wskakunin_iken3__address</t>
  </si>
  <si>
    <t>**wskakunin_iken3_TEL</t>
  </si>
  <si>
    <t>**wskakunin_iken3_IKEN_NO</t>
  </si>
  <si>
    <t>**wskakunin_iken3_DOC</t>
  </si>
  <si>
    <t>**wskakunin_iken4_NAME</t>
  </si>
  <si>
    <t>**wskakunin_iken4_JIMU_NAME</t>
  </si>
  <si>
    <t>**wskakunin_iken4_ZIP</t>
  </si>
  <si>
    <t>**wskakunin_iken4__address</t>
  </si>
  <si>
    <t>**wskakunin_iken4_TEL</t>
  </si>
  <si>
    <t>**wskakunin_iken4_IKEN_NO</t>
  </si>
  <si>
    <t>**wskakunin_iken4_DOC</t>
  </si>
  <si>
    <t>**wskakunin_sekou1_SEKOU_NO</t>
  </si>
  <si>
    <t>建設業の資格一括</t>
  </si>
  <si>
    <t>cst_wskakunin_sekou1_SEKOU_SIKAKU</t>
  </si>
  <si>
    <t>cst_wskakunin_sekou1_SEKOU_NO</t>
  </si>
  <si>
    <t>**wskakunin_sekou1_SEKOU_SIKAKU__label</t>
  </si>
  <si>
    <t>cst_wskakunin_kanri4_JIMU_SIKAKU</t>
  </si>
  <si>
    <t>cst_wskakunin_kanri1_SIKAKU</t>
  </si>
  <si>
    <t>cst_wskakunin_kanri1_JIMU_SIKAKU</t>
  </si>
  <si>
    <t>cst_wskakunin_kanri2_SIKAKU</t>
  </si>
  <si>
    <t>cst_wskakunin_kanri2_JIMU_SIKAKU</t>
  </si>
  <si>
    <t>cst_wskakunin_kanri3_SIKAKU</t>
  </si>
  <si>
    <t>cst_wskakunin_kanri3_JIMU_SIKAKU</t>
  </si>
  <si>
    <t>cst_wskakunin_kanri4_SIKAKU</t>
  </si>
  <si>
    <t>cst_wskakunin_dairi1_JIMU_SIKAKU</t>
  </si>
  <si>
    <t>cst_wskakunin_sekkei1_JIMU_SIKAKU</t>
  </si>
  <si>
    <t>cst_wskakunin_sekkei2_JIMU_SIKAKU</t>
  </si>
  <si>
    <t>cst_wskakunin_sekkei3_JIMU_SIKAKU</t>
  </si>
  <si>
    <t>cst_wskakunin_sekkei4_JIMU_SIKAKU</t>
  </si>
  <si>
    <t>建築主2</t>
  </si>
  <si>
    <t>建築主3</t>
  </si>
  <si>
    <t>建築主4</t>
  </si>
  <si>
    <t>建築主5</t>
  </si>
  <si>
    <t>建築主6</t>
  </si>
  <si>
    <t>建築主7</t>
  </si>
  <si>
    <t>建築主8</t>
  </si>
  <si>
    <t>建築主9</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</si>
  <si>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</si>
  <si>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</si>
  <si>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</si>
  <si>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</si>
  <si>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</si>
  <si>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</si>
  <si>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</si>
  <si>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</si>
  <si>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</si>
  <si>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</si>
  <si>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</si>
  <si>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</si>
  <si>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</si>
  <si>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</si>
  <si>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</si>
  <si>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</si>
  <si>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</si>
  <si>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</si>
  <si>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</si>
  <si>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</si>
  <si>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</si>
  <si>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</si>
  <si>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</si>
  <si>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</si>
  <si>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</si>
  <si>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</si>
  <si>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</si>
  <si>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</si>
  <si>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</si>
  <si>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</si>
  <si>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</si>
  <si>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</si>
  <si>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</si>
  <si>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</si>
  <si>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</si>
  <si>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</si>
  <si>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</si>
  <si>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</si>
  <si>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</si>
  <si>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</si>
  <si>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</si>
  <si>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</si>
  <si>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</si>
  <si>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</si>
  <si>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</si>
  <si>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</si>
  <si>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</si>
  <si>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</si>
  <si>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</si>
  <si>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</si>
  <si>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</si>
  <si>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</si>
  <si>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</si>
  <si>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</si>
  <si>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</si>
  <si>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</si>
  <si>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</si>
  <si>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</si>
  <si>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</si>
  <si>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</si>
  <si>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</si>
  <si>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</si>
  <si>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</si>
  <si>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</si>
  <si>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</si>
  <si>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</si>
  <si>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</si>
  <si>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</si>
  <si>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</si>
  <si>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</si>
  <si>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</si>
  <si>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</si>
  <si>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</si>
  <si>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</si>
  <si>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</si>
  <si>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</si>
  <si>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</si>
  <si>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</si>
  <si>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</si>
  <si>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</si>
  <si>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</si>
  <si>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</si>
  <si>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</si>
  <si>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</si>
  <si>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</si>
  <si>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</si>
  <si>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</si>
  <si>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</si>
  <si>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</si>
  <si>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</si>
  <si>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</si>
  <si>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</si>
  <si>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</si>
  <si>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</si>
  <si>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</si>
  <si>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</si>
  <si>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</si>
  <si>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</si>
  <si>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</si>
  <si>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</si>
  <si>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</si>
  <si>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</si>
  <si>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</si>
  <si>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</si>
  <si>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</si>
  <si>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</si>
  <si>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</si>
  <si>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</si>
  <si>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</si>
  <si>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</si>
  <si>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</si>
  <si>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</si>
  <si>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</si>
  <si>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</si>
  <si>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</si>
  <si>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</si>
  <si>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</si>
  <si>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</si>
  <si>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</si>
  <si>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</si>
  <si>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</si>
  <si>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</si>
  <si>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</si>
  <si>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</si>
  <si>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</si>
  <si>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</si>
  <si>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</si>
  <si>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</si>
  <si>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</si>
  <si>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</si>
  <si>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</si>
  <si>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</si>
  <si>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</si>
  <si>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</si>
  <si>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</si>
  <si>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</si>
  <si>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</si>
  <si>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</si>
  <si>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</si>
  <si>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</si>
  <si>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</si>
  <si>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</si>
  <si>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</si>
  <si>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</si>
  <si>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代理者2</t>
  </si>
  <si>
    <t>代理者3</t>
  </si>
  <si>
    <t>代理者4</t>
  </si>
  <si>
    <t>代理者5</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</si>
  <si>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</si>
  <si>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</si>
  <si>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</si>
  <si>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</si>
  <si>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</si>
  <si>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</si>
  <si>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</si>
  <si>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</si>
  <si>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</si>
  <si>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</si>
  <si>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</si>
  <si>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</si>
  <si>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</si>
  <si>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</si>
  <si>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</si>
  <si>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</si>
  <si>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</si>
  <si>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</si>
  <si>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</si>
  <si>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</si>
  <si>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</si>
  <si>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</si>
  <si>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</si>
  <si>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</si>
  <si>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</si>
  <si>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</si>
  <si>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</si>
  <si>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</si>
  <si>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</si>
  <si>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</si>
  <si>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</si>
  <si>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</si>
  <si>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</si>
  <si>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</si>
  <si>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</si>
  <si>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</si>
  <si>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</si>
  <si>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</si>
  <si>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</si>
  <si>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</si>
  <si>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</si>
  <si>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</si>
  <si>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</si>
  <si>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</si>
  <si>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</si>
  <si>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</si>
  <si>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</si>
  <si>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</si>
  <si>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</si>
  <si>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</si>
  <si>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</si>
  <si>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</si>
  <si>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</si>
  <si>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</si>
  <si>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</si>
  <si>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</si>
  <si>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</si>
  <si>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</si>
  <si>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</si>
  <si>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</si>
  <si>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</si>
  <si>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</si>
  <si>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</si>
  <si>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</si>
  <si>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</si>
  <si>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</si>
  <si>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</si>
  <si>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</si>
  <si>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</si>
  <si>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</si>
  <si>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</si>
  <si>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</si>
  <si>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</si>
  <si>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</si>
  <si>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</si>
  <si>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</si>
  <si>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</si>
  <si>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</si>
  <si>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</si>
  <si>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</si>
  <si>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</si>
  <si>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</si>
  <si>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</si>
  <si>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</si>
  <si>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</si>
  <si>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</si>
  <si>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</si>
  <si>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</si>
  <si>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</si>
  <si>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</si>
  <si>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</si>
  <si>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</si>
  <si>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</si>
  <si>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</si>
  <si>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</si>
  <si>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</si>
  <si>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</si>
  <si>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</si>
  <si>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</si>
  <si>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</si>
  <si>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</si>
  <si>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</si>
  <si>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</si>
  <si>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</si>
  <si>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</si>
  <si>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</si>
  <si>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</si>
  <si>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</si>
  <si>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</si>
  <si>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</si>
  <si>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</si>
  <si>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</si>
  <si>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</si>
  <si>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</si>
  <si>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</si>
  <si>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</si>
  <si>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</si>
  <si>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</si>
  <si>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</si>
  <si>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</si>
  <si>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</si>
  <si>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</si>
  <si>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</si>
  <si>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</si>
  <si>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</si>
  <si>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</si>
  <si>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</si>
  <si>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</si>
  <si>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</si>
  <si>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</si>
  <si>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</si>
  <si>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</si>
  <si>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</si>
  <si>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</si>
  <si>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</si>
  <si>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</si>
  <si>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</si>
  <si>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</si>
  <si>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</si>
  <si>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</si>
  <si>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</si>
  <si>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</si>
  <si>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</si>
  <si>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</si>
  <si>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</si>
  <si>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</si>
  <si>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</si>
  <si>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</si>
  <si>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</si>
  <si>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</si>
  <si>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</si>
  <si>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</si>
  <si>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</si>
  <si>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</si>
  <si>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</si>
  <si>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</si>
  <si>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</si>
  <si>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</si>
  <si>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</si>
  <si>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</si>
  <si>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</si>
  <si>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</si>
  <si>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</si>
  <si>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</si>
  <si>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</si>
  <si>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</si>
  <si>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</si>
  <si>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</si>
  <si>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</si>
  <si>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</si>
  <si>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</si>
  <si>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</si>
  <si>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</si>
  <si>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</si>
  <si>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</si>
  <si>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</si>
  <si>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</si>
  <si>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</si>
  <si>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</si>
  <si>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</si>
  <si>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</si>
  <si>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</si>
  <si>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</si>
  <si>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</si>
  <si>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</si>
  <si>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</si>
  <si>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</si>
  <si>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</si>
  <si>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</si>
  <si>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</si>
  <si>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</si>
  <si>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</si>
  <si>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</si>
  <si>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</si>
  <si>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</si>
  <si>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</si>
  <si>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</si>
  <si>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</si>
  <si>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</si>
  <si>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</si>
  <si>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</si>
  <si>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</si>
  <si>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</si>
  <si>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</si>
  <si>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</si>
  <si>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</si>
  <si>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</si>
  <si>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</si>
  <si>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</si>
  <si>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</si>
  <si>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</si>
  <si>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</si>
  <si>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</si>
  <si>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</si>
  <si>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</si>
  <si>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</si>
  <si>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</si>
  <si>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</si>
  <si>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</si>
  <si>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</si>
  <si>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</si>
  <si>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</si>
  <si>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</si>
  <si>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</si>
  <si>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</si>
  <si>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</si>
  <si>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</si>
  <si>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</si>
  <si>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</si>
  <si>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</si>
  <si>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</si>
  <si>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</si>
  <si>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</si>
  <si>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</si>
  <si>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</si>
  <si>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</si>
  <si>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</si>
  <si>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</si>
  <si>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</si>
  <si>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</si>
  <si>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</si>
  <si>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</si>
  <si>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</si>
  <si>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</si>
  <si>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</si>
  <si>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</si>
  <si>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</si>
  <si>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</si>
  <si>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</si>
  <si>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</si>
  <si>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</si>
  <si>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</si>
  <si>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</si>
  <si>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</si>
  <si>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</si>
  <si>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</si>
  <si>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</si>
  <si>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</si>
  <si>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</si>
  <si>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</si>
  <si>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</si>
  <si>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</si>
  <si>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</si>
  <si>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</si>
  <si>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</si>
  <si>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</si>
  <si>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</si>
  <si>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</si>
  <si>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</si>
  <si>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</si>
  <si>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</si>
  <si>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</si>
  <si>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</si>
  <si>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</si>
  <si>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</si>
  <si>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</si>
  <si>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</si>
  <si>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</si>
  <si>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</si>
  <si>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</si>
  <si>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</si>
  <si>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</si>
  <si>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</si>
  <si>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</si>
  <si>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</si>
  <si>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</si>
  <si>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</si>
  <si>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</si>
  <si>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</si>
  <si>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</si>
  <si>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</si>
  <si>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</si>
  <si>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</si>
  <si>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</si>
  <si>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</si>
  <si>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</si>
  <si>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</si>
  <si>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</si>
  <si>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</si>
  <si>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</si>
  <si>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</si>
  <si>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</si>
  <si>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</si>
  <si>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</si>
  <si>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</si>
  <si>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</si>
  <si>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</si>
  <si>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</si>
  <si>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</si>
  <si>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</si>
  <si>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</si>
  <si>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</si>
  <si>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</si>
  <si>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</si>
  <si>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</si>
  <si>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</si>
  <si>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</si>
  <si>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</si>
  <si>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</si>
  <si>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</si>
  <si>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</si>
  <si>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</si>
  <si>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</si>
  <si>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</si>
  <si>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</si>
  <si>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</si>
  <si>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</si>
  <si>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</si>
  <si>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設計者11</t>
  </si>
  <si>
    <t>設計者6</t>
  </si>
  <si>
    <t>設計者7</t>
  </si>
  <si>
    <t>設計者8</t>
  </si>
  <si>
    <t>設計者9</t>
  </si>
  <si>
    <t>設計者10</t>
  </si>
  <si>
    <t>（その他の工事監理者）</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</si>
  <si>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</si>
  <si>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</si>
  <si>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</si>
  <si>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</si>
  <si>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</si>
  <si>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</si>
  <si>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</si>
  <si>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</si>
  <si>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</si>
  <si>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</si>
  <si>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</si>
  <si>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</si>
  <si>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</si>
  <si>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</si>
  <si>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</si>
  <si>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</si>
  <si>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</si>
  <si>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</si>
  <si>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</si>
  <si>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</si>
  <si>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</si>
  <si>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</si>
  <si>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</si>
  <si>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</si>
  <si>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</si>
  <si>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</si>
  <si>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</si>
  <si>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</si>
  <si>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</si>
  <si>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</si>
  <si>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</si>
  <si>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</si>
  <si>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</si>
  <si>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</si>
  <si>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</si>
  <si>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</si>
  <si>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</si>
  <si>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</si>
  <si>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</si>
  <si>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</si>
  <si>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</si>
  <si>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</si>
  <si>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</si>
  <si>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</si>
  <si>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</si>
  <si>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</si>
  <si>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</si>
  <si>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</si>
  <si>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</si>
  <si>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</si>
  <si>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</si>
  <si>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</si>
  <si>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</si>
  <si>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</si>
  <si>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</si>
  <si>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</si>
  <si>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</si>
  <si>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</si>
  <si>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</si>
  <si>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</si>
  <si>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</si>
  <si>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</si>
  <si>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</si>
  <si>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</si>
  <si>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</si>
  <si>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</si>
  <si>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</si>
  <si>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</si>
  <si>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</si>
  <si>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</si>
  <si>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</si>
  <si>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</si>
  <si>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</si>
  <si>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</si>
  <si>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</si>
  <si>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</si>
  <si>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</si>
  <si>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</si>
  <si>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</si>
  <si>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</si>
  <si>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</si>
  <si>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</si>
  <si>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</si>
  <si>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</si>
  <si>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</si>
  <si>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</si>
  <si>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</si>
  <si>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</si>
  <si>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</si>
  <si>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</si>
  <si>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</si>
  <si>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</si>
  <si>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</si>
  <si>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</si>
  <si>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</si>
  <si>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</si>
  <si>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</si>
  <si>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</si>
  <si>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</si>
  <si>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</si>
  <si>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</si>
  <si>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</si>
  <si>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</si>
  <si>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</si>
  <si>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</si>
  <si>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</si>
  <si>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</si>
  <si>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</si>
  <si>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</si>
  <si>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</si>
  <si>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</si>
  <si>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</si>
  <si>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</si>
  <si>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</si>
  <si>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</si>
  <si>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</si>
  <si>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</si>
  <si>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</si>
  <si>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</si>
  <si>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</si>
  <si>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</si>
  <si>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</si>
  <si>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</si>
  <si>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</si>
  <si>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</si>
  <si>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</si>
  <si>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</si>
  <si>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</si>
  <si>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</si>
  <si>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</si>
  <si>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</si>
  <si>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</si>
  <si>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</si>
  <si>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</si>
  <si>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</si>
  <si>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</si>
  <si>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</si>
  <si>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</si>
  <si>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</si>
  <si>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</si>
  <si>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</si>
  <si>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</si>
  <si>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</si>
  <si>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</si>
  <si>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</si>
  <si>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</si>
  <si>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</si>
  <si>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</si>
  <si>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</si>
  <si>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</si>
  <si>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</si>
  <si>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</si>
  <si>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</si>
  <si>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</si>
  <si>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</si>
  <si>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</si>
  <si>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</si>
  <si>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</si>
  <si>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</si>
  <si>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</si>
  <si>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</si>
  <si>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</si>
  <si>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</si>
  <si>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</si>
  <si>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</si>
  <si>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</si>
  <si>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</si>
  <si>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</si>
  <si>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</si>
  <si>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</si>
  <si>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</si>
  <si>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</si>
  <si>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</si>
  <si>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</si>
  <si>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</si>
  <si>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</si>
  <si>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</si>
  <si>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</si>
  <si>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</si>
  <si>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</si>
  <si>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</si>
  <si>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</si>
  <si>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</si>
  <si>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</si>
  <si>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</si>
  <si>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</si>
  <si>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</si>
  <si>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</si>
  <si>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</si>
  <si>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</si>
  <si>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</si>
  <si>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</si>
  <si>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</si>
  <si>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</si>
  <si>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</si>
  <si>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</si>
  <si>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監理者5</t>
  </si>
  <si>
    <t>監理者6</t>
  </si>
  <si>
    <t>監理者7</t>
  </si>
  <si>
    <t>監理者8</t>
  </si>
  <si>
    <t>監理者9</t>
  </si>
  <si>
    <t>監理者10</t>
  </si>
  <si>
    <t>監理者11</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</si>
  <si>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</si>
  <si>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</si>
  <si>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</si>
  <si>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</si>
  <si>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</si>
  <si>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</si>
  <si>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</si>
  <si>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</si>
  <si>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</si>
  <si>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</si>
  <si>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</si>
  <si>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</si>
  <si>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</si>
  <si>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</si>
  <si>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</si>
  <si>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</si>
  <si>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</si>
  <si>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</si>
  <si>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</si>
  <si>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</si>
  <si>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</si>
  <si>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</si>
  <si>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</si>
  <si>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</si>
  <si>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</si>
  <si>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</si>
  <si>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</si>
  <si>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</si>
  <si>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</si>
  <si>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</si>
  <si>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</si>
  <si>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</si>
  <si>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</si>
  <si>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</si>
  <si>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</si>
  <si>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</si>
  <si>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</si>
  <si>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</si>
  <si>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</si>
  <si>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</si>
  <si>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</si>
  <si>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</si>
  <si>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</si>
  <si>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</si>
  <si>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</si>
  <si>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</si>
  <si>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</si>
  <si>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</si>
  <si>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</si>
  <si>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</si>
  <si>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</si>
  <si>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</si>
  <si>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</si>
  <si>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</si>
  <si>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</si>
  <si>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</si>
  <si>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</si>
  <si>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</si>
  <si>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</si>
  <si>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</si>
  <si>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</si>
  <si>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</si>
  <si>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</si>
  <si>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</si>
  <si>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</si>
  <si>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</si>
  <si>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</si>
  <si>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</si>
  <si>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</si>
  <si>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</si>
  <si>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</si>
  <si>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</si>
  <si>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</si>
  <si>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</si>
  <si>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</si>
  <si>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</si>
  <si>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</si>
  <si>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</si>
  <si>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</si>
  <si>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</si>
  <si>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施工者2</t>
  </si>
  <si>
    <t>施工者3</t>
  </si>
  <si>
    <t>施工者4</t>
  </si>
  <si>
    <t>施工者5</t>
  </si>
  <si>
    <t>施工者6</t>
  </si>
  <si>
    <t>wskakunin_keibi_henkou01_</t>
  </si>
  <si>
    <t>**wskakunin_keibi_henkou01_HENKOU_SYURUI</t>
  </si>
  <si>
    <t>**wskakunin_keibi_henkou01_HENKOU_GAIYOU</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</si>
  <si>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</si>
  <si>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</si>
  <si>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</si>
  <si>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</si>
  <si>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</si>
  <si>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</si>
  <si>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</si>
  <si>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</si>
  <si>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</si>
  <si>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</si>
  <si>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</si>
  <si>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</si>
  <si>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</si>
  <si>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</si>
  <si>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</si>
  <si>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</si>
  <si>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</si>
  <si>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</si>
  <si>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</si>
  <si>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</si>
  <si>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</si>
  <si>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</si>
  <si>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</si>
  <si>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</si>
  <si>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</si>
  <si>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</si>
  <si>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</si>
  <si>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</si>
  <si>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</si>
  <si>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設計者12</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</si>
  <si>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</si>
  <si>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</si>
  <si>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</si>
  <si>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</si>
  <si>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</si>
  <si>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</si>
  <si>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</si>
  <si>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</si>
  <si>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</si>
  <si>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</si>
  <si>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</si>
  <si>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</si>
  <si>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</si>
  <si>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</si>
  <si>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</si>
  <si>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</si>
  <si>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</si>
  <si>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</si>
  <si>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</si>
  <si>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</si>
  <si>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</si>
  <si>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</si>
  <si>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</si>
  <si>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</si>
  <si>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</si>
  <si>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</si>
  <si>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</si>
  <si>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</si>
  <si>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</si>
  <si>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工事種別一括出力</t>
  </si>
  <si>
    <t>中間・完了のみ</t>
  </si>
  <si>
    <t>確認・計変のみ</t>
  </si>
  <si>
    <t>第二面 備考</t>
  </si>
  <si>
    <t>**wskakunin_P2_BIKOU</t>
  </si>
  <si>
    <t>cst_wskakunin_P2_BIKOU</t>
  </si>
  <si>
    <t>建築物の名称</t>
  </si>
  <si>
    <t xml:space="preserve">準都市計画区域内 </t>
  </si>
  <si>
    <t>都市計画区域及び準都市計画区域外</t>
  </si>
  <si>
    <t>無</t>
  </si>
  <si>
    <t xml:space="preserve">道路高さ制限不適用 </t>
  </si>
  <si>
    <t>文字出力</t>
  </si>
  <si>
    <t>cst_wskakunin_TOKUREI_txt</t>
  </si>
  <si>
    <t>cst_wskakunin_KOUJI_SINTIKU_box</t>
  </si>
  <si>
    <t>cst_wskakunin_KOUJI_ZOUTIKU_box</t>
  </si>
  <si>
    <t>cst_wskakunin_KOUJI_KAITIKU_box</t>
  </si>
  <si>
    <t>cst_wskakunin_KOUJI_ITEN_box</t>
  </si>
  <si>
    <t>cst_wskakunin_KOUJI_YOUTOHENKOU_box</t>
  </si>
  <si>
    <t>cst_wskakunin_KOUJI_DAI_SYUUZEN_box</t>
  </si>
  <si>
    <t>cst_wskakunin_KOUJI_DAI_MOYOUGAE_box</t>
  </si>
  <si>
    <t>cst_wskakunin_KENTIKU_NINSYO_NO</t>
  </si>
  <si>
    <t>**wskakunin_KOUJI_TYAKUSYU_DATE</t>
  </si>
  <si>
    <t>**wskakunin_KOUJI_KANRYOU_DATE</t>
  </si>
  <si>
    <t>※ 確認時：出力しない</t>
  </si>
  <si>
    <t>※ 中間1枚目 - 確認時：特定工程2があれば出力</t>
  </si>
  <si>
    <t>select （ 1枚目と2枚目の処理が必要 ）</t>
  </si>
  <si>
    <t xml:space="preserve"> - 中間1枚目</t>
  </si>
  <si>
    <t xml:space="preserve"> - 中間2枚目</t>
  </si>
  <si>
    <t xml:space="preserve"> - 回数</t>
  </si>
  <si>
    <t xml:space="preserve"> - 【ｲ.特定工程】</t>
  </si>
  <si>
    <t xml:space="preserve"> - 【ﾛ.中間検査合格証交付者】</t>
  </si>
  <si>
    <t xml:space="preserve"> - 【ﾊ.中間検査合格証番号】</t>
  </si>
  <si>
    <t xml:space="preserve"> - 【ﾆ.交付年月日】</t>
  </si>
  <si>
    <t>確認時の中間申請書出力処理用</t>
  </si>
  <si>
    <t>確認時 - 特定工程1の入力あり</t>
  </si>
  <si>
    <t>確認時 - 特定工程2の入力あり</t>
  </si>
  <si>
    <t>確認時 - 特定工程3の入力あり</t>
  </si>
  <si>
    <t>cst_wskakunin_KOUJI_TYAKUSYU_DATE_select</t>
  </si>
  <si>
    <t>cst_wskakunin_KOUJI_KANRYOU_DATE_select</t>
  </si>
  <si>
    <t>cst_wskakunin_TOKUTEI_KOUTEI</t>
  </si>
  <si>
    <t>cst_wskakunin_TOKUTEI_KOUTEI_inter1</t>
  </si>
  <si>
    <t>cst_wskakunin_TOKUTEI_KOUTEI_inter2</t>
  </si>
  <si>
    <t>cst_wskakunin_TOKUTEI_KOUJI_KANRYOU_DATE_select</t>
  </si>
  <si>
    <t>cst_wskakunin_KENSA_YUKA_MENSEKI_select</t>
  </si>
  <si>
    <t>cst_wskakunin_koutei_izen01_KOUTEI_KAISUU</t>
  </si>
  <si>
    <t>cst_wskakunin_koutei_izen01_KOUTEI_TEXT</t>
  </si>
  <si>
    <t>cst_wskakunin_koutei_izen01_INTER_ISSUE_NAME</t>
  </si>
  <si>
    <t>cst_wskakunin_koutei_izen01_INTER_ISSUE_NO</t>
  </si>
  <si>
    <t>cst_wskakunin_koutei_izen01_INTER_ISSUE_DATE</t>
  </si>
  <si>
    <t>cst_wskakunin_koutei_izen01_KOUTEI_KAISUU_inter1</t>
  </si>
  <si>
    <t>cst_wskakunin_koutei_izen01_KOUTEI_TEXT_inter1</t>
  </si>
  <si>
    <t>cst_wskakunin_koutei_izen01_INTER_ISSUE_NO_inter1</t>
  </si>
  <si>
    <t>cst_wskakunin_koutei_izen01_INTER_ISSUE_DATE_inter1</t>
  </si>
  <si>
    <t>cst_wskakunin_koutei_izen01_INTER_ISSUE_NAME_inter1</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</si>
  <si>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</si>
  <si>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</si>
  <si>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</si>
  <si>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</si>
  <si>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</si>
  <si>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 確認時：特定工程1の入力があれば出力</t>
  </si>
  <si>
    <t>受付システムテーブルから取得した情報（受理後）</t>
  </si>
  <si>
    <t>**wskakunin_SHINSEI_DATE</t>
  </si>
  <si>
    <t>cst_wskakunin_koutei_izen02_KOUTEI_KAISUU</t>
  </si>
  <si>
    <t>cst_wskakunin_koutei_izen02_KOUTEI_TEXT</t>
  </si>
  <si>
    <t>cst_wskakunin_koutei_izen02_INTER_ISSUE_NAME</t>
  </si>
  <si>
    <t>cst_wskakunin_koutei_izen02_INTER_ISSUE_NO</t>
  </si>
  <si>
    <t>cst_wskakunin_koutei_izen02_INTER_ISSUE_DATE</t>
  </si>
  <si>
    <t>※ 中間2枚目 - 確認時：特定工程3があれば出力</t>
  </si>
  <si>
    <t xml:space="preserve"> - 【ﾛ.特定工程工事終了予定年月日】</t>
  </si>
  <si>
    <t>cst_wskakunin_koutei_ikou01_KOUTEI_KAISUU</t>
  </si>
  <si>
    <t>cst_wskakunin_koutei_ikou01_KOUTEI_TEXT</t>
  </si>
  <si>
    <t>cst_wskakunin_koutei_ikou01_KOUTEI_DATE</t>
  </si>
  <si>
    <t>cst_wskakunin_koutei_ikou01_KOUTEI_DATE_inter1</t>
  </si>
  <si>
    <t>cst_wskakunin_koutei_ikou01_KOUTEI_TEXT_inter2</t>
  </si>
  <si>
    <t>cst_wskakunin_koutei_ikou01_KOUTEI_DATE_inter2</t>
  </si>
  <si>
    <t>cst_wskakunin_koutei_ikou02_KOUTEI_DATE_inter1</t>
  </si>
  <si>
    <t>cst_wskakunin_koutei_ikou02_KOUTEI_TEXT_inter2</t>
  </si>
  <si>
    <t>※ 中間1枚目 - 確認時：特定工程3があれば出力</t>
  </si>
  <si>
    <t>※ 中間2枚目 - 確認時：特定工程4があれば出力</t>
  </si>
  <si>
    <t>cst_wskakunin_koutei_ikou02_KOUTEI_KAISUU</t>
  </si>
  <si>
    <t>cst_wskakunin_koutei_ikou02_KOUTEI_TEXT</t>
  </si>
  <si>
    <t>cst_wskakunin_koutei_ikou02_KOUTEI_DATE</t>
  </si>
  <si>
    <t>cst_wskakunin_keibi_henkou01_HENKOU_SYURUI</t>
  </si>
  <si>
    <t>cst_wskakunin_keibi_henkou01_HENKOU_GAIYOU</t>
  </si>
  <si>
    <t>cst_wskakunin_koutei_ikou01_KOUTEI_KAISUU_inter1</t>
  </si>
  <si>
    <t>cst_wskakunin_koutei_ikou01_KOUTEI_TEXT_inter1</t>
  </si>
  <si>
    <t>cst_wskakunin_koutei_ikou01_KOUTEI_KAISUU_inter2</t>
  </si>
  <si>
    <t>cst_wskakunin_koutei_ikou02_KOUTEI_KAISUU_inter1</t>
  </si>
  <si>
    <t>cst_wskakunin_koutei_ikou02_KOUTEI_TEXT_inter1</t>
  </si>
  <si>
    <t>cst_wskakunin_koutei_ikou02_KOUTEI_KAISUU_inter2</t>
  </si>
  <si>
    <t>cst_wskakunin_koutei_ikou02_KOUTEI_DATE_inter2</t>
  </si>
  <si>
    <t>確認：自分, 検査：直前 ※ 確認は受理後有効</t>
  </si>
  <si>
    <t>cst_ISSUE_NO_select</t>
  </si>
  <si>
    <t>1：確認（確認, 計変）,3：中間, 4：完了</t>
  </si>
  <si>
    <t>chk_JOB_KIND_kakunin</t>
  </si>
  <si>
    <t>基準法の種別判定</t>
  </si>
  <si>
    <t>【9.検査経過】</t>
  </si>
  <si>
    <t xml:space="preserve">【ﾛ.中間検査合格証交付者】 </t>
  </si>
  <si>
    <t>左側：</t>
  </si>
  <si>
    <t>右側：</t>
  </si>
  <si>
    <t>**wskakunin_koutei02_INTER_ISSUE_NAME</t>
  </si>
  <si>
    <t>**wskakunin_koutei02_INTER_ISSUE_NO</t>
  </si>
  <si>
    <t>**wskakunin_koutei02_INTER_ISSUE_DATE</t>
  </si>
  <si>
    <t>**wskakunin_koutei01_INTER_ISSUE_NAME</t>
  </si>
  <si>
    <t>**wskakunin_koutei01_INTER_ISSUE_NO</t>
  </si>
  <si>
    <t>**wskakunin_koutei01_INTER_ISSUE_DATE</t>
  </si>
  <si>
    <t>cst_wskakunin_koutei02_INTER_ISSUE_DATE</t>
  </si>
  <si>
    <t>種別（中間時 - 特定工程別）</t>
  </si>
  <si>
    <t>10：確認（確認, 計変）, 30：中間_前0, 31：中間_前1, 32：中間_前2, 40：完了</t>
  </si>
  <si>
    <t>chk_INTER1_state_in_conf</t>
  </si>
  <si>
    <t>chk_INTER2_state_in_conf</t>
  </si>
  <si>
    <t>chk_INTER3_state_in_conf</t>
  </si>
  <si>
    <t>chk_INTER_state_in_final</t>
  </si>
  <si>
    <t>※ 確認(10)、完了(40)で用いる</t>
  </si>
  <si>
    <t>出力用</t>
  </si>
  <si>
    <t>cst_wskakunin_koutei01_INTER_ISSUE_NAME</t>
  </si>
  <si>
    <t>cst_wskakunin_koutei01_INTER_ISSUE_NO</t>
  </si>
  <si>
    <t>cst_wskakunin_koutei01_INTER_ISSUE_DATE</t>
  </si>
  <si>
    <t>cst_wskakunin_koutei_keika01_INTER_ISSUE_DATE_select</t>
  </si>
  <si>
    <t>cst_wskakunin_koutei_keika01_KOUTEI_KAISUU_select</t>
  </si>
  <si>
    <t>cst_wskakunin_koutei_keika01_KOUTEI_TEXT_select</t>
  </si>
  <si>
    <t>cst_wskakunin_koutei_keika01_INTER_ISSUE_NAME_select</t>
  </si>
  <si>
    <t>cst_wskakunin_koutei_keika01_INTER_ISSUE_NO_select</t>
  </si>
  <si>
    <t>中間1枚目出力用</t>
  </si>
  <si>
    <t>中間2枚目出力用</t>
  </si>
  <si>
    <t>cst_wskakunin_koutei02_INTER_ISSUE_NAME</t>
  </si>
  <si>
    <t>cst_wskakunin_koutei02_INTER_ISSUE_NO</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</si>
  <si>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</si>
  <si>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</si>
  <si>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</si>
  <si>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</si>
  <si>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</si>
  <si>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2</t>
  </si>
  <si>
    <t>4.</t>
  </si>
  <si>
    <t>**wskakunin_koutei_izen03_KOUTEI_KAISUU</t>
  </si>
  <si>
    <t>**wskakunin_koutei_izen03_KOUTEI_TEXT</t>
  </si>
  <si>
    <t>**wskakunin_koutei_izen03_INTER_ISSUE_NAME</t>
  </si>
  <si>
    <t>**wskakunin_koutei_izen03_INTER_ISSUE_NO</t>
  </si>
  <si>
    <t>**wskakunin_koutei_izen03_INTER_ISSUE_DATE</t>
  </si>
  <si>
    <t>**wskakunin_koutei_izen04_KOUTEI_KAISUU</t>
  </si>
  <si>
    <t>**wskakunin_koutei_izen04_KOUTEI_TEXT</t>
  </si>
  <si>
    <t>**wskakunin_koutei_izen04_INTER_ISSUE_NAME</t>
  </si>
  <si>
    <t>**wskakunin_koutei_izen04_INTER_ISSUE_NO</t>
  </si>
  <si>
    <t>**wskakunin_koutei_izen04_INTER_ISSUE_DATE</t>
  </si>
  <si>
    <t>cst_wskakunin_koutei_izen03_KOUTEI_KAISUU</t>
  </si>
  <si>
    <t>cst_wskakunin_koutei_izen03_KOUTEI_TEXT</t>
  </si>
  <si>
    <t>cst_wskakunin_koutei_izen03_INTER_ISSUE_NAME</t>
  </si>
  <si>
    <t>cst_wskakunin_koutei_izen03_INTER_ISSUE_NO</t>
  </si>
  <si>
    <t>cst_wskakunin_koutei_izen03_INTER_ISSUE_DATE</t>
  </si>
  <si>
    <t>cst_wskakunin_koutei_izen04_KOUTEI_KAISUU</t>
  </si>
  <si>
    <t>cst_wskakunin_koutei_izen04_KOUTEI_TEXT</t>
  </si>
  <si>
    <t>cst_wskakunin_koutei_izen04_INTER_ISSUE_NAME</t>
  </si>
  <si>
    <t>cst_wskakunin_koutei_izen04_INTER_ISSUE_NO</t>
  </si>
  <si>
    <t>cst_wskakunin_koutei_izen04_INTER_ISSUE_DATE</t>
  </si>
  <si>
    <t>以前の中間 左側：</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</si>
  <si>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</si>
  <si>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</si>
  <si>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</si>
  <si>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</si>
  <si>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</si>
  <si>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</si>
  <si>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</si>
  <si>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</si>
  <si>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</si>
  <si>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</si>
  <si>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</si>
  <si>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以降の中間 左側：</t>
  </si>
  <si>
    <t>以降の中間 右側：</t>
  </si>
  <si>
    <t>出力条件</t>
  </si>
  <si>
    <t>出力処理</t>
  </si>
  <si>
    <t>cst_koujikikan_year</t>
  </si>
  <si>
    <t>cst_koujikikan_month</t>
  </si>
  <si>
    <t>cst_wskakunin_KOUZOU_mokuzou</t>
  </si>
  <si>
    <t>cst_wskakunin_KOUZOU_zairai</t>
  </si>
  <si>
    <t>宅配ﾎﾞｯｸｽの設置部分</t>
  </si>
  <si>
    <t>**wskakunin_NOBE_MENSEKI_TAKUHAI_SHINSEI</t>
  </si>
  <si>
    <t>**wskakunin_NOBE_MENSEKI_TAKUHAI_IGAI</t>
  </si>
  <si>
    <t>**wskakunin_NOBE_MENSEKI_TAKUHAI_TOTAL</t>
  </si>
  <si>
    <t>cst_wskakunin_NOBE_MENSEKI_TAKUHAI_SHINSEI</t>
  </si>
  <si>
    <t>cst_wskakunin_NOBE_MENSEKI_TAKUHAI_IGAI</t>
  </si>
  <si>
    <t>cst_wskakunin_NOBE_MENSEKI_TAKUHAI_TOTAL</t>
  </si>
  <si>
    <t>【ﾛ.地階の住宅又は老人ホーム等の部分】</t>
  </si>
  <si>
    <t>【ﾆ.共同住宅又は老人ホーム等の共用の廊下等の部分】</t>
  </si>
  <si>
    <t>日付</t>
  </si>
  <si>
    <t>変更内容</t>
  </si>
  <si>
    <t>三木香澄</t>
  </si>
  <si>
    <t>建築概要一面、築造概要一面の受付欄部分を削除。</t>
  </si>
  <si>
    <t>dSTART</t>
  </si>
  <si>
    <t>種類コード</t>
  </si>
  <si>
    <t>工作物の概要</t>
  </si>
  <si>
    <t>**wskakunin_gaiyou1_WORK_SYURUI_CODE</t>
  </si>
  <si>
    <t>**wskakunin_gaiyou1_WORK_SYURUI</t>
  </si>
  <si>
    <t>**wskakunin_gaiyou1_TAKASA</t>
  </si>
  <si>
    <t>**wskakunin_gaiyou1_KOUZOU</t>
  </si>
  <si>
    <t>cst_wskakunin_gaiyou1_WORK_SYURUI_CODE</t>
  </si>
  <si>
    <t>cst_wskakunin_gaiyou1_WORK_SYURUI</t>
  </si>
  <si>
    <t>cst_wskakunin_gaiyou1_TAKASA</t>
  </si>
  <si>
    <t>cst_wskakunin_gaiyou1_KOUZOU</t>
  </si>
  <si>
    <t>種類</t>
  </si>
  <si>
    <t>高さ</t>
  </si>
  <si>
    <t>昇降機の概要</t>
  </si>
  <si>
    <t>番号</t>
  </si>
  <si>
    <t>種別</t>
  </si>
  <si>
    <t>用途</t>
  </si>
  <si>
    <t>積載荷重</t>
  </si>
  <si>
    <t>最大定員</t>
  </si>
  <si>
    <t>定格速度</t>
  </si>
  <si>
    <t>その他必要な事項</t>
  </si>
  <si>
    <t>認証番号</t>
  </si>
  <si>
    <t>その他必要事項+認証番号</t>
  </si>
  <si>
    <t>**wskakunin_gaiyou1_NO</t>
  </si>
  <si>
    <t>**wskakunin_gaiyou1_EV_KIND</t>
  </si>
  <si>
    <t>**wskakunin_gaiyou1_YOUTO</t>
  </si>
  <si>
    <t>**wskakunin_gaiyou1_SEKISAI</t>
  </si>
  <si>
    <t>**wskakunin_gaiyou1_TEIIN</t>
  </si>
  <si>
    <t>**wskakunin_gaiyou1_SPEED</t>
  </si>
  <si>
    <t>**wskakunin_gaiyou1_SONOTA</t>
  </si>
  <si>
    <t>**wskakunin_gaiyou1_NINSYOU_NO</t>
  </si>
  <si>
    <t>**wskakunin_gaiyou1_SONOTA_and_NINSYOU_NO</t>
  </si>
  <si>
    <t>cst_wskakunin_gaiyou1_NO</t>
  </si>
  <si>
    <t>cst_wskakunin_gaiyou1_EV_KIND</t>
  </si>
  <si>
    <t>cst_wskakunin_gaiyou1_YOUTO</t>
  </si>
  <si>
    <t>cst_wskakunin_gaiyou1_SEKISAI</t>
  </si>
  <si>
    <t>cst_wskakunin_gaiyou1_TEIIN</t>
  </si>
  <si>
    <t>cst_wskakunin_gaiyou1_SPEED</t>
  </si>
  <si>
    <t>cst_wskakunin_gaiyou1_SONOTA</t>
  </si>
  <si>
    <t>cst_wskakunin_gaiyou1_NINSYOU_NO</t>
  </si>
  <si>
    <t>cst_wskakunin_gaiyou1_SONOTA_and_NINSYOU_NO</t>
  </si>
  <si>
    <t>築造、設備概要一面のエラー部分を一部修正</t>
  </si>
  <si>
    <t>築造面積_申請部分</t>
  </si>
  <si>
    <t>築造面積_申請以外の部分</t>
  </si>
  <si>
    <t>築造面積_合計</t>
  </si>
  <si>
    <t>工作物の数_申請部分</t>
  </si>
  <si>
    <t>工作物の数_申請以外部分</t>
  </si>
  <si>
    <t>工作物の数_合計</t>
  </si>
  <si>
    <t>**wskakunin_gaiyou1_TIKUZOU_MENSEKI_SHINSEI</t>
  </si>
  <si>
    <t>**wskakunin_gaiyou1_TIKUZOU_MENSEKI_IGAI</t>
  </si>
  <si>
    <t>**wskakunin_gaiyou1_TIKUZOU_MENSEKI_TOTAL</t>
  </si>
  <si>
    <t>**wskakunin_gaiyou1_WORK_COUNT_SHINSEI</t>
  </si>
  <si>
    <t>**wskakunin_gaiyou1_WORK_COUNT_IGAI</t>
  </si>
  <si>
    <t>**wskakunin_gaiyou1_WORK_COUNT_TOTAL</t>
  </si>
  <si>
    <t>cst_wskakunin_gaiyou1_TIKUZOU_MENSEKI_SHINSEI</t>
  </si>
  <si>
    <t>cst_wskakunin_gaiyou1_TIKUZOU_MENSEKI_IGAI</t>
  </si>
  <si>
    <t>cst_wskakunin_gaiyou1_TIKUZOU_MENSEKI_TOTAL</t>
  </si>
  <si>
    <t>cst_wskakunin_gaiyou1_WORK_COUNT_SHINSEI</t>
  </si>
  <si>
    <t>cst_wskakunin_gaiyou1_WORK_COUNT_IGAI</t>
  </si>
  <si>
    <t>cst_wskakunin_gaiyou1_WORK_COUNT_TOTAL</t>
  </si>
  <si>
    <t>築造、設備概要一面のエラー部分を修正</t>
  </si>
  <si>
    <t>cst_wskakunin_20setubi301_NAMEの式を修正</t>
  </si>
  <si>
    <t>**wskakunin_20kouzou101_KOUZOUSEKKEI_KOUFU_NO</t>
  </si>
  <si>
    <t>cst_wskakunin_20kouzou101_KOUZOUSEKKEI_KOUFU_NO</t>
  </si>
  <si>
    <t>**wskakunin_20kouzou301_KOUZOUSEKKEI_KOUFU_NO</t>
  </si>
  <si>
    <t>cst_wskakunin_20kouzou301_KOUZOUSEKKEI_KOUFU_NO</t>
  </si>
  <si>
    <t>**wskakunin_20setubi101_SETUBISEKKEI_KOUFU_NO</t>
  </si>
  <si>
    <t>cst_wskakunin_20setubi101_SETUBISEKKEI_KOUFU_NO</t>
  </si>
  <si>
    <t>**wskakunin_20setubi102_SETUBISEKKEI_KOUFU_NO</t>
  </si>
  <si>
    <t>cst_wskakunin_20setubi102_SETUBISEKKEI_KOUFU_NO</t>
  </si>
  <si>
    <t>**wskakunin_20setubi103_SETUBISEKKEI_KOUFU_NO</t>
  </si>
  <si>
    <t>cst_wskakunin_20setubi103_SETUBISEKKEI_KOUFU_NO</t>
  </si>
  <si>
    <t>**wskakunin_20setubi301_SETUBISEKKEI_KOUFU_NO</t>
  </si>
  <si>
    <t>cst_wskakunin_20setubi301_SETUBISEKKEI_KOUFU_NO</t>
  </si>
  <si>
    <t>**wskakunin_20setubi302_SETUBISEKKEI_KOUFU_NO</t>
  </si>
  <si>
    <t>cst_wskakunin_20setubi302_SETUBISEKKEI_KOUFU_NO</t>
  </si>
  <si>
    <t>**wskakunin_20setubi303_SETUBISEKKEI_KOUFU_NO</t>
  </si>
  <si>
    <t>cst_wskakunin_20setubi303_SETUBISEKKEI_KOUFU_NO</t>
  </si>
  <si>
    <t>床面積（申請部分）</t>
  </si>
  <si>
    <t>**wskakunin_p4_1_YUKA_MENSEKI_SHINSEI</t>
  </si>
  <si>
    <t>cst_wskakunin_p4_1_YUKA_MENSEKI_SHINSEI</t>
  </si>
  <si>
    <t>**wskakunin_p4_2_KAISU_TIKAI_NOZOKU</t>
  </si>
  <si>
    <t>**wskakunin_p4_3_KAISU_TIKAI</t>
  </si>
  <si>
    <t>**wskakunin_p4_2_KAISU_TIKAI</t>
  </si>
  <si>
    <t>**wskakunin_p4_2_YUKA_MENSEKI_SHINSEI</t>
  </si>
  <si>
    <t>**wskakunin_p4_3_KAISU_TIKAI_NOZOKU</t>
  </si>
  <si>
    <t>**wskakunin_p4_3_YUKA_MENSEKI_SHINSEI</t>
  </si>
  <si>
    <t>cst_wskakunin_p4_2_KAISU_TIKAI_NOZOKU</t>
  </si>
  <si>
    <t>cst_wskakunin_p4_2_KAISU_TIKAI</t>
  </si>
  <si>
    <t>cst_wskakunin_p4_2_YUKA_MENSEKI_SHINSEI</t>
  </si>
  <si>
    <t>cst_wskakunin_p4_3_KAISU_TIKAI_NOZOKU</t>
  </si>
  <si>
    <t>cst_wskakunin_p4_3_KAISU_TIKAI</t>
  </si>
  <si>
    <t>cst_wskakunin_p4_3_YUKA_MENSEKI_SHINSEI</t>
  </si>
  <si>
    <t>設備・構造設計一級建築士交付番号のセル名修正</t>
  </si>
  <si>
    <t>**shinsei_ISSUE_KOUFU_NAME</t>
  </si>
  <si>
    <t>cst_shinsei_ISSUE_KOUFU_NAME</t>
  </si>
  <si>
    <t>確認済証交付者のセル名を修正</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</si>
  <si>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</si>
  <si>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</si>
  <si>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</si>
  <si>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</si>
  <si>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</si>
  <si>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</si>
  <si>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</si>
  <si>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</si>
  <si>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</si>
  <si>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</si>
  <si>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</si>
  <si>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</si>
  <si>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</si>
  <si>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</si>
  <si>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</si>
  <si>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</si>
  <si>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</si>
  <si>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</si>
  <si>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</si>
  <si>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</si>
  <si>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</si>
  <si>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</si>
  <si>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</si>
  <si>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</si>
  <si>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</si>
  <si>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</si>
  <si>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</si>
  <si>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</si>
  <si>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</si>
  <si>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</si>
  <si>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</si>
  <si>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</si>
  <si>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</si>
  <si>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</si>
  <si>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</si>
  <si>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</si>
  <si>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</si>
  <si>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</si>
  <si>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</si>
  <si>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</si>
  <si>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</si>
  <si>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</si>
  <si>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</si>
  <si>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</si>
  <si>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</si>
  <si>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</si>
  <si>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</si>
  <si>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</si>
  <si>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別紙_設計者2のリンク先修正、表示人数を五人ずつに</t>
  </si>
  <si>
    <t>建築工事届　「印」削除</t>
  </si>
  <si>
    <t>寺田</t>
  </si>
  <si>
    <t>DATAシートのデータ欄に入力されているものを削除</t>
  </si>
  <si>
    <t>入力チェック</t>
  </si>
  <si>
    <t>cst_wskakunin_sekou1_kakunin</t>
  </si>
  <si>
    <t>：未入力1,入力済み2</t>
  </si>
  <si>
    <t>cst_ISSUE_DATE_select</t>
  </si>
  <si>
    <t>cst_wskakunin_KOUZOU</t>
  </si>
  <si>
    <t>cst_wsjob_KENTIKUBUTU_box</t>
  </si>
  <si>
    <t>cst_wsjob_SYOUKOUKI_box</t>
  </si>
  <si>
    <t>工作物</t>
  </si>
  <si>
    <t>cst_wsjob_KOUSAKUBUTU_box</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</si>
  <si>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</si>
  <si>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</si>
  <si>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</si>
  <si>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</si>
  <si>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</si>
  <si>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</si>
  <si>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</si>
  <si>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</si>
  <si>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</si>
  <si>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</si>
  <si>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</si>
  <si>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</si>
  <si>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</si>
  <si>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</si>
  <si>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</si>
  <si>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</si>
  <si>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</si>
  <si>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</si>
  <si>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</si>
  <si>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</si>
  <si>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</si>
  <si>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</si>
  <si>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</si>
  <si>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</si>
  <si>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</si>
  <si>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</si>
  <si>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</si>
  <si>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</si>
  <si>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</si>
  <si>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</si>
  <si>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**wskakunin_BUILD_NAME_KANA</t>
  </si>
  <si>
    <t>**wskakunin_koutei04_KOUTEI_KAISUU</t>
  </si>
  <si>
    <t>**wskakunin_koutei04_KOUTEI_DATE</t>
  </si>
  <si>
    <t>**wskakunin_koutei04_KOUTEI_TEXT</t>
  </si>
  <si>
    <t>共同・長屋の戸数</t>
  </si>
  <si>
    <t>**shinsei_UNIT_COUNT</t>
  </si>
  <si>
    <t>cst_shinsei_UNIT_COUNT</t>
  </si>
  <si>
    <t>受付システム第六面</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</si>
  <si>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</si>
  <si>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</si>
  <si>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</si>
  <si>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</si>
  <si>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</si>
  <si>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</si>
  <si>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</si>
  <si>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</si>
  <si>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cst_wskakunin_kyoka01_JOUKOU</t>
  </si>
  <si>
    <t>cst_wskakunin_kyoka01_KYOKA_NO</t>
  </si>
  <si>
    <t>cst_wskakunin_kyoka01_KYOKA_DATE</t>
  </si>
  <si>
    <t>cst_wskakunin_kyoka01_BIKOU</t>
  </si>
  <si>
    <t>cst_wskakunin_kyoka02_JOUKOU</t>
  </si>
  <si>
    <t>cst_wskakunin_kyoka02_KYOKA_NO</t>
  </si>
  <si>
    <t>cst_wskakunin_kyoka02_KYOKA_DATE</t>
  </si>
  <si>
    <t>cst_wskakunin_kyoka02_BIKOU</t>
  </si>
  <si>
    <t>cst_wskakunin_kyoka03_JOUKOU</t>
  </si>
  <si>
    <t>cst_wskakunin_kyoka03_KYOKA_NO</t>
  </si>
  <si>
    <t>cst_wskakunin_kyoka03_KYOKA_DATE</t>
  </si>
  <si>
    <t>cst_wskakunin_kyoka03_BIKOU</t>
  </si>
  <si>
    <t>cst_wskakunin_owner2__space</t>
  </si>
  <si>
    <t>cst_wskakunin_owner3__space</t>
  </si>
  <si>
    <t>cst_wskakunin_owner4__space</t>
  </si>
  <si>
    <t>cst_wskakunin_owner5__space</t>
  </si>
  <si>
    <t>cst_wskakunin_owner6__space3</t>
  </si>
  <si>
    <t>確認済証交付者（届出用）</t>
  </si>
  <si>
    <t>cst_ISSUE_KOUFU_NAME_select</t>
  </si>
  <si>
    <t>cst_wskakunin__kuiki_box</t>
  </si>
  <si>
    <t>事前受付日</t>
  </si>
  <si>
    <t>**shinsei_PROVO_DATE</t>
  </si>
  <si>
    <t>cst_shinsei_PROVO_DATE</t>
  </si>
  <si>
    <t>事前受付番号</t>
  </si>
  <si>
    <t>**shinsei_PROVO_NO</t>
  </si>
  <si>
    <t>cst_shinsei_PROVO_NO</t>
  </si>
  <si>
    <t>cst_wskakunin_owner2__space2</t>
  </si>
  <si>
    <t>cst_wskakunin_owner1__space3</t>
  </si>
  <si>
    <t>cst_wskakunin_owner2__space3</t>
  </si>
  <si>
    <t>cst_wskakunin_KOUJI_SETUBI_box</t>
  </si>
  <si>
    <t>確認済証番号（届出用）</t>
  </si>
  <si>
    <t>cst_shinsei_KAKUNIN_ISSUE_NO</t>
  </si>
  <si>
    <t>　※確認かそれ以外かで判別する</t>
  </si>
  <si>
    <t>cst_shinsei_KAKUNIN_KOUFU_DATE</t>
  </si>
  <si>
    <t>確認済証交付日（届出用）</t>
  </si>
  <si>
    <t>cst_wskakunin_owner1_ZIP2</t>
  </si>
  <si>
    <t>cst_wskakunin_kanri1_ZIP2</t>
  </si>
  <si>
    <t>cst_wsjob_JOB_KIND_kakunin_box</t>
  </si>
  <si>
    <t>cst_wsjob_JOB_KIND_inter_box</t>
  </si>
  <si>
    <t>cst_wsjob_JOB_KIND_final_box</t>
  </si>
  <si>
    <t>【7.工事完了年月日】</t>
  </si>
  <si>
    <t>西暦</t>
  </si>
  <si>
    <t>【7.工事完了予定年月日】</t>
  </si>
  <si>
    <t>cst_wskakunin_KOUJI_KANRYOU_YOTEI_DATE_select</t>
  </si>
  <si>
    <t>**shinsei_KAKU_SUMI_NO</t>
  </si>
  <si>
    <t>cst_shinsei_KAKU_SUMI_NO</t>
  </si>
  <si>
    <t>基準法より</t>
  </si>
  <si>
    <t>**shinsei_build_YOUTO</t>
  </si>
  <si>
    <t>cst_shinsei_build_YOUTO</t>
  </si>
  <si>
    <t>cst_wskakunin_BUILD_NAME_KANA</t>
  </si>
  <si>
    <t>cst_wskakunin_koutei04_KOUTEI_KAISUU</t>
  </si>
  <si>
    <t>cst_wskakunin_koutei04_KOUTEI_DATE</t>
  </si>
  <si>
    <t>cst_wskakunin_koutei04_KOUTEI_TEXT</t>
  </si>
  <si>
    <t>会社名フリガナ&lt;スペース&gt;役職フリガナ&lt;スペース&gt;氏名フリガナ　常に表示（一行表示）</t>
  </si>
  <si>
    <t>cst_wskakunin_owner1__space_KANA2</t>
  </si>
  <si>
    <t>cst_wskakunin_owner1__space4</t>
  </si>
  <si>
    <t>会社名&lt;スペース&gt;役職&lt;スペース&gt;氏名　常に表示（一行表示）</t>
  </si>
  <si>
    <t>防火設備の有無</t>
  </si>
  <si>
    <t>**wskakunin_BOUKA_SETUBI_FLAG</t>
  </si>
  <si>
    <t>cst_wskakunin_BOUKA_SETUBI_FLAG</t>
  </si>
  <si>
    <t>cst_wskakunin_BOUKA_SETUBI_FLAG_box_on</t>
  </si>
  <si>
    <t>cst_wskakunin_BOUKA_SETUBI_FLAG_box_off</t>
  </si>
  <si>
    <t>提出機関先</t>
  </si>
  <si>
    <t>**wskakunin_KIKAN_NAME</t>
  </si>
  <si>
    <t>cst_wskakunin_KIKAN_NAME</t>
  </si>
  <si>
    <t>建築計画概要書（第三面）</t>
  </si>
  <si>
    <t>付近見取図</t>
  </si>
  <si>
    <t>(注意)</t>
  </si>
  <si>
    <t>1．第一面及び第二面関係</t>
  </si>
  <si>
    <t>　これらは第二号様式の第二面及び第三面の写しに代えることができます。この場合には、最上段に「建築計画概要書(第一面)」及び「建築計画概要書(第二面)」と明示してください。</t>
  </si>
  <si>
    <t>　第一面の5欄及び6欄は、それぞれ工事監理者又は工事施工者が未定のときは、後で定まってから工事着手前に届け出てください。この場合には、特定行政庁が届出があった旨を明示した上で記入します。</t>
  </si>
  <si>
    <t>2．第三面関係</t>
  </si>
  <si>
    <t>　付近見取図には、方位、道路及び目標となる地物を明示してください。</t>
  </si>
  <si>
    <t>　配置図には、縮尺、方位、敷地境界線、敷地内における建築物の位置、申請に係る建築物と他の建築物との別並びに敷地の接する道路の位置及び幅員を明示してください。</t>
  </si>
  <si>
    <t>リスト</t>
  </si>
  <si>
    <t>用途の区分</t>
  </si>
  <si>
    <t>建築概要一面</t>
  </si>
  <si>
    <t>概要二面</t>
  </si>
  <si>
    <t>概要三面</t>
  </si>
  <si>
    <t>徳永</t>
  </si>
  <si>
    <t>ＤＡＴＡシートを共通に差し替え　日付リンク修正</t>
  </si>
  <si>
    <t>築造第一面6.工作物の概要を1と2に別シート</t>
  </si>
  <si>
    <t>印刷範囲設定、dSHEET修正、現場調査シート削除</t>
  </si>
  <si>
    <t>印刷設定修正</t>
  </si>
  <si>
    <t>dSHEETとプルダウンが合っていなかったため修正</t>
  </si>
  <si>
    <t>会社情報 履歴</t>
  </si>
  <si>
    <t>状態</t>
  </si>
  <si>
    <t>履歴</t>
  </si>
  <si>
    <t>開始日</t>
  </si>
  <si>
    <t>会社タイプ</t>
  </si>
  <si>
    <t>代表者名</t>
  </si>
  <si>
    <t>会社名表記名</t>
  </si>
  <si>
    <t>誕生日</t>
  </si>
  <si>
    <t>帳票情報</t>
  </si>
  <si>
    <t>採用情報</t>
  </si>
  <si>
    <t>帳票名</t>
  </si>
  <si>
    <t>Ctrl</t>
  </si>
  <si>
    <t>検査結果</t>
  </si>
  <si>
    <t>会社名２</t>
  </si>
  <si>
    <t>代表者名変更対応（2020/6/18付け）</t>
  </si>
  <si>
    <t>dAName</t>
  </si>
  <si>
    <t>代表者名変更対応（2020/6/17付け）</t>
  </si>
  <si>
    <t>KJH→HJESに移行</t>
  </si>
  <si>
    <t>HJES用の帳票を出力設定</t>
  </si>
  <si>
    <t>帳票修正</t>
  </si>
  <si>
    <t>dSHEET築造概要書を88-2から出力設定に変更</t>
  </si>
  <si>
    <t>第三号様式　（第一条の三、第三条、第三条の三、第三条の四、第三条の七、第三条の十、第六条の三、第十一条の三関係）（A4）</t>
  </si>
  <si>
    <t>建築概要一面・築造概要一面　法改正対応</t>
  </si>
  <si>
    <t>ｄSHEET-2対応</t>
  </si>
  <si>
    <t>武下</t>
  </si>
  <si>
    <t>工事届の押印削除対応</t>
  </si>
  <si>
    <t>堀</t>
  </si>
  <si>
    <t>委任状下部の日付を1セルに結合し均等割り付けに変更</t>
  </si>
  <si>
    <t xml:space="preserve">居住専用住宅（附属建築物を除く ） </t>
  </si>
  <si>
    <t>居住専用住宅附属建築物（物置，車庫等）</t>
  </si>
  <si>
    <t>寮，寄宿舎，合宿所（附属建築物を除く ）</t>
  </si>
  <si>
    <t>寮，寄宿舎，合宿所附属建築物（物置，車庫等）</t>
  </si>
  <si>
    <t>他に分類されない居住専用建築物</t>
  </si>
  <si>
    <t>農業，林業，漁業，水産養殖業</t>
  </si>
  <si>
    <t>鉱業</t>
  </si>
  <si>
    <t>建設業</t>
  </si>
  <si>
    <t>化学工業，石油製品・石炭製品製造業</t>
  </si>
  <si>
    <t>鉄鋼業，非鉄金属製造業，金属製品製造業</t>
  </si>
  <si>
    <t>一般機械器具製造業，電気機械器具製造業，情報通信機械器具製造業，電子部品･デバイス製造業,輸送用機械器具製造業，精密機械器具製造業</t>
  </si>
  <si>
    <t>食品製造業，飲料・たばこ・飼料製造業，繊維工業，衣服・その他の繊維製品製造業，木材・木製品製造業，家具・装備品製造業，パルプ・紙・紙加工品製造業，印刷・同関連業，プラスチック製品製造業（下２桁１５～１８に該当するものを除く ，窯業・土石製品製造業</t>
  </si>
  <si>
    <t>ゴム製品製造業，なめし革・同製品・毛皮製造業，その他の製造業</t>
  </si>
  <si>
    <t>電気業</t>
  </si>
  <si>
    <t>ガス業</t>
  </si>
  <si>
    <t>熱供給業</t>
  </si>
  <si>
    <t>水道業</t>
  </si>
  <si>
    <t>通信業（信書送達業を除く ）</t>
  </si>
  <si>
    <t>放送業，情報サービス業，インターネット附随サービス業</t>
  </si>
  <si>
    <t>映像・音声・文字情報製作業（新聞業及び出版業を除く ）</t>
  </si>
  <si>
    <t>新聞業，出版業</t>
  </si>
  <si>
    <t>鉄道業，道路旅客運送業，道路貨物運送業，水運業，航空運送業，倉庫業，運輸に附帯するサービス業</t>
  </si>
  <si>
    <t>卸売・小売業</t>
  </si>
  <si>
    <t>金融・保険業</t>
  </si>
  <si>
    <t>不動産取引業，不動産賃貸業・管理業（駐車場業を除く ）</t>
  </si>
  <si>
    <t>駐車場業</t>
  </si>
  <si>
    <t>一般飲食店，遊興飲食店</t>
  </si>
  <si>
    <t>宿泊業</t>
  </si>
  <si>
    <t>医療業，保健衛生</t>
  </si>
  <si>
    <t>社会保険・社会福祉・介護事業</t>
  </si>
  <si>
    <t>学校教育</t>
  </si>
  <si>
    <t>社会教育</t>
  </si>
  <si>
    <t>学習塾，教養・技能教授業</t>
  </si>
  <si>
    <t>職業・教育支援施設，他に分類されない教育及び学習支援業</t>
  </si>
  <si>
    <t>郵便局，信書送達業</t>
  </si>
  <si>
    <t>学術・開発研究機関，政治・経済・文化団体</t>
  </si>
  <si>
    <t>旅行業</t>
  </si>
  <si>
    <t>娯楽業</t>
  </si>
  <si>
    <t>宗教</t>
  </si>
  <si>
    <t>その他のサービス業</t>
  </si>
  <si>
    <t>国家公務，地方公務</t>
  </si>
  <si>
    <t>他に分類されないもの</t>
  </si>
  <si>
    <t>建築工事届　プルダウン追加</t>
  </si>
  <si>
    <t>事務所資格＜スペース＞事務所名</t>
  </si>
  <si>
    <t>資格＜スペース＞氏名</t>
  </si>
  <si>
    <t>cst_wskakunin_dairi1__sikaku_JIMU_NAME</t>
  </si>
  <si>
    <t>cst_wskakunin_dairi1__sikaku_NAME</t>
  </si>
  <si>
    <t>委任状差し替え</t>
  </si>
  <si>
    <t>建築工事届　連名表示に</t>
  </si>
  <si>
    <t>調査の要否</t>
  </si>
  <si>
    <t>**wskakunin_KITEI_CHOUSA_FLAG</t>
  </si>
  <si>
    <t>cst_wskakunin_KITEI_CHOUSA_FLAG</t>
  </si>
  <si>
    <t>cst_wskakunin_KITEI_CHOUSA_FLAG_box_on</t>
  </si>
  <si>
    <t>cst_wskakunin_KITEI_CHOUSA_FLAG_box_off</t>
  </si>
  <si>
    <t>【19.建築基準法第12条第３項の規定による検査を要する防火設備の有無】</t>
  </si>
  <si>
    <t>【20.その他必要な事項】</t>
  </si>
  <si>
    <t>【21.備考】</t>
  </si>
  <si>
    <t>【18.建築基準法第12条第１項の規定による調査の要否】</t>
  </si>
  <si>
    <t>要</t>
  </si>
  <si>
    <t>否</t>
  </si>
  <si>
    <t>居住専用住宅（附属建築物を除く。）</t>
  </si>
  <si>
    <t>寮，寄宿舎，合宿所（附属建築物を除く。）</t>
  </si>
  <si>
    <t>鉱業，採石業，砂利採取業</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</si>
  <si>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</si>
  <si>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はん用機械器具製造業，生産用機械器具製造業，業務用機械器具製造業，電子部品・デバイス・電子回路製造業，電気機械器具製造業，情報通信機械器具製造業，輸送用機械器具製造業</t>
  </si>
  <si>
    <t>通信業</t>
  </si>
  <si>
    <t>映像・音声・文字情報製作業（新聞業及び出版業を除く。）</t>
  </si>
  <si>
    <t>映像・音声・文字情報制作業（新聞業及び出版業に限る。）</t>
  </si>
  <si>
    <t>鉄道業，道路旅客運送業，道路貨物運送業，水運業，航空，運輸業，倉庫業，運輸に附帯するサービス業</t>
  </si>
  <si>
    <t>卸売業，小売業</t>
  </si>
  <si>
    <t>金融業，保険業</t>
  </si>
  <si>
    <t>不動産取引業，不動産賃貸業・管理業（駐車場業を除く。）</t>
  </si>
  <si>
    <t>不動産賃貸業・管理業（駐車場業に限る。）</t>
  </si>
  <si>
    <t>飲食店，持ち帰り・配達飲食サービス業</t>
  </si>
  <si>
    <t>その他の教育及び学習支援業（社会教育に限る。）</t>
  </si>
  <si>
    <t>その他の教育及び学習支援業（学習塾及び教養・技能教授業に限る。）</t>
  </si>
  <si>
    <t>その他の教育及び学習支援業（記号35及び記号36に該当するものを除く。）</t>
  </si>
  <si>
    <t>郵便業（信書便事業を含む。），郵便局</t>
  </si>
  <si>
    <t>その他の生活関連サービス業（旅行業に限る。）</t>
  </si>
  <si>
    <t>物品賃貸業，専門サービス業，広告業，技術サービス業，洗濯・理容・美容・浴場業，その他の生活関連サービス業（旅行業を除く。），協同組合，サービス業（他に分類されないもの）（記号41及び記号44に該当するものを除く。）</t>
  </si>
  <si>
    <t>項目リストに「工事届用主要用途区分」追加</t>
  </si>
  <si>
    <t>建築工事届　連名表示に（2名）</t>
  </si>
  <si>
    <t>代表者変更対応</t>
  </si>
  <si>
    <t>第一面設計者</t>
  </si>
  <si>
    <t>設計者</t>
  </si>
  <si>
    <t>**wskakunin_SEKKEI_NAME</t>
  </si>
  <si>
    <t>cst_wskakunin_SEKKEI_NAME</t>
  </si>
  <si>
    <t>第一面工事監理者</t>
  </si>
  <si>
    <t>監理者</t>
  </si>
  <si>
    <t>**wskakunin_KANRI_NAME</t>
  </si>
  <si>
    <t>cst_wskakunin_KANRI_NAME</t>
  </si>
  <si>
    <t>申請書　作成</t>
  </si>
  <si>
    <t>レイアウト修正</t>
  </si>
  <si>
    <t>第四十号様式（第八条関係）（Ａ４）</t>
  </si>
  <si>
    <t>建築基準法第15条第1項の規定による</t>
  </si>
  <si>
    <t>知事　殿</t>
  </si>
  <si>
    <t>工事施工者（設計者又は代理者）</t>
  </si>
  <si>
    <t>営業所名（建築士事務所名）</t>
  </si>
  <si>
    <t>工事監理者</t>
  </si>
  <si>
    <t>除却工事施工者</t>
  </si>
  <si>
    <t>※受付経由機関記載欄</t>
  </si>
  <si>
    <t>(1) 国</t>
  </si>
  <si>
    <t>(2) 都道府県</t>
  </si>
  <si>
    <t>(3) 市区町村</t>
  </si>
  <si>
    <t>(4) 会社</t>
  </si>
  <si>
    <t>(5) 会社でない団体</t>
  </si>
  <si>
    <t>(6) 個人</t>
  </si>
  <si>
    <t>【イ.地名地番】</t>
  </si>
  <si>
    <t>【ロ.都市計画】</t>
  </si>
  <si>
    <t>(1) 市街化区域</t>
  </si>
  <si>
    <t>(2) 市街化調整区域</t>
  </si>
  <si>
    <t>(3) 区域区分非設定都市計画区域</t>
  </si>
  <si>
    <t>【6.住宅の利用関係】</t>
  </si>
  <si>
    <t>(1) 持家</t>
  </si>
  <si>
    <t>(2) 貸家</t>
  </si>
  <si>
    <t>(3) 給与住宅</t>
  </si>
  <si>
    <t>【7.建築物の床面積の合計】</t>
  </si>
  <si>
    <t>【8.建築物の評価額】</t>
  </si>
  <si>
    <t>千円</t>
  </si>
  <si>
    <t>【1.着工及び工事完了の予定期日】</t>
  </si>
  <si>
    <t>【イ.着工予定期日】</t>
  </si>
  <si>
    <t>【ロ.工事完了予定期日】</t>
  </si>
  <si>
    <t>【2.建築主】</t>
  </si>
  <si>
    <t>【イ.建築主の種別】</t>
  </si>
  <si>
    <t>【ロ.資本の額又は出資の総額】</t>
  </si>
  <si>
    <t>(1)1,000万円以下</t>
  </si>
  <si>
    <t>(2)1,000万円超～3,000万円以下</t>
  </si>
  <si>
    <t>(3)3,000万円超～1億円以下</t>
  </si>
  <si>
    <t>(4)1億円超～10億円以下</t>
  </si>
  <si>
    <t>(5)10億円超</t>
  </si>
  <si>
    <t>【3.敷地の位置】</t>
  </si>
  <si>
    <t>多用途</t>
  </si>
  <si>
    <t>【ニ．工事の予定期間】</t>
  </si>
  <si>
    <t>月間)</t>
  </si>
  <si>
    <t>【ホ.工事部分の</t>
  </si>
  <si>
    <t>【ヘ.建築工事費予定額】</t>
  </si>
  <si>
    <t>【ト.新築工事の場合における地上の階数】</t>
  </si>
  <si>
    <t>【チ.新築工事の場合における地下の階数】</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</si>
  <si>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</si>
  <si>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</si>
  <si>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</si>
  <si>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</si>
  <si>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</si>
  <si>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</si>
  <si>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</si>
  <si>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</si>
  <si>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</si>
  <si>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</si>
  <si>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【ホ.住宅の種類】</t>
  </si>
  <si>
    <t>【ヘ.住宅の建て方】</t>
  </si>
  <si>
    <t>(3)共同住宅</t>
  </si>
  <si>
    <t>【ト.利用関係】</t>
  </si>
  <si>
    <t>【チ.住宅の戸数】</t>
  </si>
  <si>
    <t>【リ.工事部分の</t>
  </si>
  <si>
    <t>【2.除却原因】</t>
  </si>
  <si>
    <t>【3.構造】</t>
  </si>
  <si>
    <t>2021/10/4　建築工事届でエラーが出ていた問題解消</t>
  </si>
  <si>
    <t>松葉</t>
  </si>
  <si>
    <t>スタイルを削除して保存。</t>
  </si>
  <si>
    <t>**wskakunin_SHINSEI_DATE__e</t>
  </si>
  <si>
    <t>**wskakunin_SHINSEI_DATE__month</t>
  </si>
  <si>
    <t>**wskakunin_SHINSEI_DATE__day</t>
  </si>
  <si>
    <t>cst_wskakunin_SHINSEI_DATE__e</t>
  </si>
  <si>
    <t>cst_wskakunin_SHINSEI_DATE__month</t>
  </si>
  <si>
    <t>cst_wskakunin_SHINSEI_DATE__day</t>
  </si>
  <si>
    <t>HJES→KGWに移行</t>
  </si>
  <si>
    <t>建築計画概要書</t>
  </si>
  <si>
    <t>株式会社　香川県建築住宅センター</t>
  </si>
  <si>
    <t>代表取締役　　牧　野　　直　樹</t>
  </si>
  <si>
    <t>代表取締役　　尾　崎　　真　悟</t>
  </si>
  <si>
    <t>代表取締役　　北　谷　　智　志</t>
  </si>
  <si>
    <t>【ﾛ.建蔽率の算定の基礎となる建築面積】</t>
  </si>
  <si>
    <t>建築面積</t>
  </si>
  <si>
    <t>**wskakunin_KENTIKU_MENSEKI_ZENTAI_SHINSEI</t>
  </si>
  <si>
    <t>**wskakunin_KENTIKU_MENSEKI_ZENTAI_IGAI</t>
  </si>
  <si>
    <t>**wskakunin_KENTIKU_MENSEKI_ZENTAI_TOTAL</t>
  </si>
  <si>
    <t>cst_wskakunin_KENTIKU_MENSEKI_ZENTAI_SHINSEI</t>
  </si>
  <si>
    <t>cst_wskakunin_KENTIKU_MENSEKI_ZENTAI_IGAI</t>
  </si>
  <si>
    <t>cst_wskakunin_KENTIKU_MENSEKI_ZENTAI_TOTAL</t>
  </si>
  <si>
    <t>【ﾎ.認定機械室等の部分】</t>
  </si>
  <si>
    <t>【ﾍ.自動車車庫等の部分】</t>
  </si>
  <si>
    <t>【ﾄ.備蓄倉庫の部分】</t>
  </si>
  <si>
    <t>【ﾁ.蓄電池の設置部分】</t>
  </si>
  <si>
    <t>【ﾘ.自家発電設備の設置部分】</t>
  </si>
  <si>
    <t>【ﾇ.貯水槽の設置部分】</t>
  </si>
  <si>
    <t>【ﾙ.宅配ボックスの設置部分】</t>
  </si>
  <si>
    <t>【ｦ.その他の不算入部分】</t>
  </si>
  <si>
    <t>【ﾜ.住宅の部分】</t>
  </si>
  <si>
    <t>【ｶ.老人ホーム等の部分】</t>
  </si>
  <si>
    <t>【ﾖ.延べ面積】</t>
  </si>
  <si>
    <t>【ﾀ.容積率】</t>
  </si>
  <si>
    <t>認定機械室等の部分</t>
  </si>
  <si>
    <t>**wskakunin_NOBE_MENSEKI_KIKAI_SHINSEI</t>
  </si>
  <si>
    <t>**wskakunin_NOBE_MENSEKI_KIKAI_IGAI</t>
  </si>
  <si>
    <t>**wskakunin_NOBE_MENSEKI_KIKAI_TOTAL</t>
  </si>
  <si>
    <t>その他の不算入部分</t>
  </si>
  <si>
    <t>**wskakunin_NOBE_MENSEKI_FUSANNYU_SHINSEI</t>
  </si>
  <si>
    <t>**wskakunin_NOBE_MENSEKI_FUSANNYU_IGAI</t>
  </si>
  <si>
    <t>**wskakunin_NOBE_MENSEKI_FUSANNYU_TOTAL</t>
  </si>
  <si>
    <t>cst_wskakunin_NOBE_MENSEKI_KIKAI_SHINSEI</t>
  </si>
  <si>
    <t>cst_wskakunin_NOBE_MENSEKI_KIKAI_IGAI</t>
  </si>
  <si>
    <t>cst_wskakunin_NOBE_MENSEKI_KIKAI_TOTAL</t>
  </si>
  <si>
    <t>cst_wskakunin_NOBE_MENSEKI_FUSANNYU_SHINSEI</t>
  </si>
  <si>
    <t>cst_wskakunin_NOBE_MENSEKI_FUSANNYU_IGAI</t>
  </si>
  <si>
    <t>cst_wskakunin_NOBE_MENSEKI_FUSANNYU_TOTAL</t>
  </si>
  <si>
    <t>概要二面　法改正対応</t>
  </si>
  <si>
    <t>【ﾊ.建蔽率】</t>
  </si>
  <si>
    <t>建 築 主 住 所 等 変 更 届</t>
  </si>
  <si>
    <t>下記の事項について変更したので、届け出ます。</t>
  </si>
  <si>
    <t>法人の場合は、その事務所の
所在地、名称及び代表者の氏名</t>
  </si>
  <si>
    <t>年月日</t>
  </si>
  <si>
    <t>変更後</t>
  </si>
  <si>
    <t>TEL：</t>
  </si>
  <si>
    <t>変更前</t>
  </si>
  <si>
    <t>①建築主等</t>
  </si>
  <si>
    <t>※受付欄</t>
  </si>
  <si>
    <t>（注意）変更のあった項目欄のみ記入してください。※印欄は、記入しないでください。</t>
  </si>
  <si>
    <t>②敷地の
地番地名</t>
  </si>
  <si>
    <t>年　　月　　日</t>
  </si>
  <si>
    <t>〒</t>
  </si>
  <si>
    <t>建築主住所等変更届</t>
  </si>
  <si>
    <t>工事監理の状況</t>
  </si>
  <si>
    <t>確認を行った部位・材料の種類等</t>
  </si>
  <si>
    <t>照合内容</t>
  </si>
  <si>
    <t>照合を行った設計図書</t>
  </si>
  <si>
    <t>設計図書の内容について設計者に確認した事項</t>
  </si>
  <si>
    <t>照合方法</t>
  </si>
  <si>
    <t>照合結果（不適の場合には建築主に対して行った報告の内容）</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</si>
  <si>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</si>
  <si>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</si>
  <si>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</si>
  <si>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</si>
  <si>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</si>
  <si>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特定天井に用いる材料の種別並びに当該特定天井の構造及び施工状況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</si>
  <si>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</si>
  <si>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</si>
  <si>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</si>
  <si>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建築設備に用いる材料の種類及びにその照合した内容並びに当該建築設備の構造及び施工状況（区画貫通部の処理状況を含む。）</t>
  </si>
  <si>
    <t>備        考</t>
  </si>
  <si>
    <t>（第８号様式）</t>
  </si>
  <si>
    <t>工事監理者（変更・選定）報告書</t>
  </si>
  <si>
    <t>下記のとおり、工事監理者を（変更・選定）したので報告します。</t>
  </si>
  <si>
    <t>【１.確認済証番号】</t>
  </si>
  <si>
    <t>【２．確認済証交付日】</t>
  </si>
  <si>
    <t>【３．建築場所】</t>
  </si>
  <si>
    <t>【４．主要用途】</t>
  </si>
  <si>
    <t>【５．（変更・選任）年月日】</t>
  </si>
  <si>
    <t>【６．新工事監理者】</t>
  </si>
  <si>
    <t>）建築士（</t>
  </si>
  <si>
    <t>）登録第</t>
  </si>
  <si>
    <t>）建築士事務所　　（</t>
  </si>
  <si>
    <t>）知事登録第</t>
  </si>
  <si>
    <t>【イ.資　　　格】　　　　（</t>
  </si>
  <si>
    <t>【ロ.氏　　　名】</t>
  </si>
  <si>
    <t>【ハ.建築士事務所名】（</t>
  </si>
  <si>
    <t>【ニ.郵便番号】</t>
  </si>
  <si>
    <t>【ホ.所 在 地】</t>
  </si>
  <si>
    <t>【ヘ.電話番号】</t>
  </si>
  <si>
    <t>【７．旧工事監理者】</t>
  </si>
  <si>
    <t>（第９号様式）</t>
  </si>
  <si>
    <t>工事施工者（変更・選定）報告書</t>
  </si>
  <si>
    <t>下記のとおり、工事施工者を（変更・選定）したので報告します。</t>
  </si>
  <si>
    <t>【６．新工事施工者】</t>
  </si>
  <si>
    <t>【７．旧工事施工者】</t>
  </si>
  <si>
    <t>建設業の許可（</t>
  </si>
  <si>
    <t>【イ.氏　　　名】</t>
  </si>
  <si>
    <t>【ロ.営業所名】</t>
  </si>
  <si>
    <t>【ハ.郵便番号】</t>
  </si>
  <si>
    <t>【ニ.所 在 地】</t>
  </si>
  <si>
    <t>【ホ.電話番号】</t>
  </si>
  <si>
    <t>（県要領第3号様式）</t>
  </si>
  <si>
    <t>変　更　届</t>
  </si>
  <si>
    <t>設置者</t>
  </si>
  <si>
    <t>次のとおり浄化槽を変更したいので、関係書類を添えて届け出ます。</t>
  </si>
  <si>
    <t>設置場所</t>
  </si>
  <si>
    <t>処理方式・処理能力</t>
  </si>
  <si>
    <t>変更の理由</t>
  </si>
  <si>
    <t>変更予定年月日</t>
  </si>
  <si>
    <t>建築確認済年月日・番号</t>
  </si>
  <si>
    <t>変更の内容</t>
  </si>
  <si>
    <t>型</t>
  </si>
  <si>
    <t>人槽</t>
  </si>
  <si>
    <t>　　年　　月　　日</t>
  </si>
  <si>
    <t>　年　月　日</t>
  </si>
  <si>
    <t>検査申請書_第四面</t>
  </si>
  <si>
    <t>工事監理者報告書</t>
  </si>
  <si>
    <t>工事施工者報告書</t>
  </si>
  <si>
    <t>浄化槽変更届</t>
  </si>
  <si>
    <t>取下げ届出書</t>
  </si>
  <si>
    <t>第四面～届出　追加</t>
  </si>
  <si>
    <t>施工者報告書、監理者報告書、浄化槽　リンク追加</t>
  </si>
  <si>
    <t>【委任状作成上のご注意事項】</t>
  </si>
  <si>
    <t>・委任状は、必ず、委任本人の意思に基づいて作成してください。</t>
  </si>
  <si>
    <t>　　委　　任　　状</t>
  </si>
  <si>
    <t>【代理者】</t>
  </si>
  <si>
    <t>【建築士事務所名】</t>
  </si>
  <si>
    <t>【郵便番号】</t>
  </si>
  <si>
    <t>【電話番号】</t>
  </si>
  <si>
    <t>【資格】</t>
  </si>
  <si>
    <t>【氏名】</t>
  </si>
  <si>
    <t>【所在地】</t>
  </si>
  <si>
    <t>　上記の者を代理者と定め、下記の建築物に関する手続き及び交付される文書の受領、及び</t>
  </si>
  <si>
    <t>その他付随する一切の権限を委任します。</t>
  </si>
  <si>
    <t>【2.主要用途】</t>
  </si>
  <si>
    <t>【3.委任事項】</t>
  </si>
  <si>
    <t>確認申請業務</t>
  </si>
  <si>
    <t>中間検査業務</t>
  </si>
  <si>
    <t>完了検査業務</t>
  </si>
  <si>
    <t>【委任者】</t>
  </si>
  <si>
    <t>【住所】</t>
  </si>
  <si>
    <t>委任状</t>
  </si>
  <si>
    <t>委任状追加</t>
  </si>
  <si>
    <t>・委任状の記載事項に関して、代理人及び委任者の間で生じたトラブルについて、弊社は
　その責を負わないことをご了承ください。</t>
  </si>
  <si>
    <t>飯島</t>
  </si>
  <si>
    <t>建築工事　第二面6欄（ホ）㎡、第三面1欄（チ）戸、（リ）㎡の単位追加</t>
  </si>
  <si>
    <t>中嶋</t>
  </si>
  <si>
    <t>【氏名のﾌﾘｶﾞﾅ】</t>
  </si>
  <si>
    <t>cst_wskakunin_owner2__space_KANA</t>
  </si>
  <si>
    <t>cst_wskakunin_owner2__space_KANA2</t>
  </si>
  <si>
    <t>取下げ届出書　委任状　工事管理者報告書　工事施工者報告書　建築主住所等変更届　建築士2を表示</t>
  </si>
  <si>
    <t>田口</t>
  </si>
  <si>
    <t>取り下げ届　引受番号、引受日表示</t>
  </si>
  <si>
    <t>【2.建物名称】</t>
  </si>
  <si>
    <t>設計住宅性能評価に関する手続き</t>
  </si>
  <si>
    <t>変更設計住宅性能評価に関する手続き</t>
  </si>
  <si>
    <t>建設住宅性能評価に関する手続き</t>
  </si>
  <si>
    <t>変更建設住宅性能評価に関する手続き</t>
  </si>
  <si>
    <t>申請取下げ書提出</t>
  </si>
  <si>
    <t>**wshyouka_SHINSEI_DATE</t>
  </si>
  <si>
    <t>cst_wshyouka_SHINSEI_DATE</t>
  </si>
  <si>
    <t>建築主２</t>
  </si>
  <si>
    <t>建築物名称</t>
  </si>
  <si>
    <t>名称</t>
  </si>
  <si>
    <t>**wshyouka_owner1_NAME</t>
  </si>
  <si>
    <t>**wshyouka_owner1_NAME_KANA</t>
  </si>
  <si>
    <t>**wshyouka_owner1_POST</t>
  </si>
  <si>
    <t>**wshyouka_owner1_POST_KANA</t>
  </si>
  <si>
    <t>**wshyouka_owner1_ZIP</t>
  </si>
  <si>
    <t>**wshyouka_owner1__address</t>
  </si>
  <si>
    <t>**wshyouka_owner2_NAME</t>
  </si>
  <si>
    <t>**wshyouka_owner2_NAME_KANA</t>
  </si>
  <si>
    <t>**wshyouka_owner1_JIMU_NAME</t>
  </si>
  <si>
    <t>**wshyouka_owner1_JIMU_NAME_KANA</t>
  </si>
  <si>
    <t>**wshyouka_owner2_JIMU_NAME</t>
  </si>
  <si>
    <t>**wshyouka_owner2_JIMU_NAME_KANA</t>
  </si>
  <si>
    <t>**wshyouka_owner2_POST</t>
  </si>
  <si>
    <t>**wshyouka_owner2_POST_KANA</t>
  </si>
  <si>
    <t>**wshyouka_owner2_ZIP</t>
  </si>
  <si>
    <t>**wshyouka_owner2__address</t>
  </si>
  <si>
    <t>**wshyouka_owner2_TEL</t>
  </si>
  <si>
    <t>**wshyouka_owner1_TEL</t>
  </si>
  <si>
    <t>**wshyouka_dairi1_NAME</t>
  </si>
  <si>
    <t>**wshyouka_dairi1_NAME_KANA</t>
  </si>
  <si>
    <t>**wshyouka_dairi1_JIMU_NAME</t>
  </si>
  <si>
    <t>**wshyouka_dairi1_JIMU_NAME_KANA</t>
  </si>
  <si>
    <t>**wshyouka_dairi1_POST</t>
  </si>
  <si>
    <t>**wshyouka_dairi1_POST_KANA</t>
  </si>
  <si>
    <t>**wshyouka_dairi1_ZIP</t>
  </si>
  <si>
    <t>**wshyouka_dairi1__address</t>
  </si>
  <si>
    <t>**wshyouka_dairi1_TEL</t>
  </si>
  <si>
    <t>**wshyouka_BUILD_NAME</t>
  </si>
  <si>
    <t>**wshyouka_BUILD__address</t>
  </si>
  <si>
    <t>cst_wshyouka_owner1_NAME</t>
  </si>
  <si>
    <t>cst_wshyouka_owner1_NAME_KANA</t>
  </si>
  <si>
    <t>cst_wshyouka_owner1_JIMU_NAME</t>
  </si>
  <si>
    <t>cst_wshyouka_owner1_JIMU_NAME_KANA</t>
  </si>
  <si>
    <t>cst_wshyouka_owner1_POST</t>
  </si>
  <si>
    <t>cst_wshyouka_owner1_POST_KANA</t>
  </si>
  <si>
    <t>cst_wshyouka_owner1_ZIP</t>
  </si>
  <si>
    <t>cst_wshyouka_owner1__address</t>
  </si>
  <si>
    <t>cst_wshyouka_owner1_TEL</t>
  </si>
  <si>
    <t>cst_wshyouka_owner2_NAME</t>
  </si>
  <si>
    <t>cst_wshyouka_owner2_NAME_KANA</t>
  </si>
  <si>
    <t>cst_wshyouka_owner2_JIMU_NAME</t>
  </si>
  <si>
    <t>cst_wshyouka_owner2_JIMU_NAME_KANA</t>
  </si>
  <si>
    <t>cst_wshyouka_owner2_POST</t>
  </si>
  <si>
    <t>cst_wshyouka_owner2_POST_KANA</t>
  </si>
  <si>
    <t>cst_wshyouka_owner2_ZIP</t>
  </si>
  <si>
    <t>cst_wshyouka_owner2__address</t>
  </si>
  <si>
    <t>cst_wshyouka_owner2_TEL</t>
  </si>
  <si>
    <t>cst_wshyouka_dairi1_NAME</t>
  </si>
  <si>
    <t>cst_wshyouka_dairi1_NAME_KANA</t>
  </si>
  <si>
    <t>cst_wshyouka_dairi1_JIMU_NAME</t>
  </si>
  <si>
    <t>cst_wshyouka_dairi1_JIMU_NAME_KANA</t>
  </si>
  <si>
    <t>cst_wshyouka_dairi1_POST</t>
  </si>
  <si>
    <t>cst_wshyouka_dairi1_POST_KANA</t>
  </si>
  <si>
    <t>cst_wshyouka_dairi1_ZIP</t>
  </si>
  <si>
    <t>cst_wshyouka_dairi1__address</t>
  </si>
  <si>
    <t>cst_wshyouka_dairi1_TEL</t>
  </si>
  <si>
    <t>cst_wshyouka_BUILD_NAME</t>
  </si>
  <si>
    <t>cst_wshyouka_BUILD__address</t>
  </si>
  <si>
    <t>会社名フリガナ　役職フリガナ　氏名フリガナ</t>
  </si>
  <si>
    <t>cst_wshyouka_owner1__space_KANA</t>
  </si>
  <si>
    <t>cst_wshyouka_owner1__space3</t>
  </si>
  <si>
    <t>cst_wshyouka_owner1__space2</t>
  </si>
  <si>
    <t>cst_wshyouka_owner2__space_KANA</t>
  </si>
  <si>
    <t>cst_wshyouka_owner2__space2</t>
  </si>
  <si>
    <t>cst_wshyouka_owner2__space3</t>
  </si>
  <si>
    <t>DATA_性能評価</t>
  </si>
  <si>
    <t>委任状_性能評価</t>
  </si>
  <si>
    <t>委任状_性能評価シート追加</t>
  </si>
  <si>
    <t>建築工事届_2410</t>
  </si>
  <si>
    <t>法改正対応　建築工事届</t>
  </si>
  <si>
    <t>工事届_2410</t>
  </si>
  <si>
    <t>用途コート</t>
  </si>
  <si>
    <t>用途分類</t>
  </si>
  <si>
    <t>構造コード</t>
  </si>
  <si>
    <t>住宅、住宅附属建築物（物置、車庫等）</t>
  </si>
  <si>
    <t>寮、合宿所、寄宿舎、準住宅附属建築物（物置、車庫等）</t>
  </si>
  <si>
    <t>農業、林業、漁業、水産養殖業</t>
  </si>
  <si>
    <t>鉱業、採石業、砂利採取業、建設業</t>
  </si>
  <si>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</si>
  <si>
    <t>コンクリートブロック造</t>
  </si>
  <si>
    <t>電気・ガス・熱供給・水道業</t>
  </si>
  <si>
    <t>通信業、放送業、情報サービス業、インターネット附随サービス業、映像・音声・文字情報制作業</t>
  </si>
  <si>
    <t>鉄道業、道路旅客運送業、道路貨物運送業、水運業、航空運輸業、倉庫業、運輸に附帯するサービス業</t>
  </si>
  <si>
    <t>義務教育学校</t>
  </si>
  <si>
    <t>卸売業、小売業</t>
  </si>
  <si>
    <t>金融業、保険業</t>
  </si>
  <si>
    <t>特別支援学校</t>
  </si>
  <si>
    <t>不動産取引業、不動産賃貸業・管理業</t>
  </si>
  <si>
    <t>宿泊業、飲食店、持ち帰り・配達飲食サービス業</t>
  </si>
  <si>
    <t>学校教育、その他の教育、学習支援業（社会教育、学習塾及び教養・技能教授業ほか）</t>
  </si>
  <si>
    <t>医療業、保健衛生、社会保険・社会福祉・介護事業</t>
  </si>
  <si>
    <t>幼保連携型認定こども園</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</si>
  <si>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</si>
  <si>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</si>
  <si>
    <t>美術館その他これに類するもの</t>
  </si>
  <si>
    <t>老人ホーム、福祉ホームその他これに類するもの</t>
  </si>
  <si>
    <t>助産所（入所する者の寝室があるものに限る。）</t>
  </si>
  <si>
    <t>助産所（入所する者の寝室がないものに限る。）</t>
  </si>
  <si>
    <t>児童福祉施設等（建築基準法施行令第19条第１項に規定する児童福祉施設等をいい、前４項に掲げるものを除く。次項において同じ。）（入所する者の寝室があるものに限る。）</t>
  </si>
  <si>
    <t>児童福祉施設等（入所する者の寝室がないものに限る。）</t>
  </si>
  <si>
    <t>郵便法（昭和22年法律第165号）の規定により行う郵便の業務の用に供する施設</t>
  </si>
  <si>
    <t>建築基準法施行令第130条の４第５号に基づき国土交通大臣が指定する施設</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</si>
  <si>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</si>
  <si>
    <t>飲食店（次項に掲げるもの並びに田園住居地域及びその周辺の地域で生産された農産物を材料とする料理の提供を主たる目的とするものを除く。）</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</si>
  <si>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</si>
  <si>
    <t>物品販売業を営む店舗以外の店舗（前２項に掲げるものを除く。）</t>
  </si>
  <si>
    <t>農産物の生産、集荷、処理又は貯蔵に供するもの</t>
  </si>
  <si>
    <t>農業の生産資材の貯蔵に供するもの</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</si>
  <si>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</si>
  <si>
    <t>建築基準法第15条第１項の規定による</t>
  </si>
  <si>
    <t>知事　様</t>
  </si>
  <si>
    <t>　　建築主</t>
  </si>
  <si>
    <t>　　工事施工者（設計者又は代理者）</t>
  </si>
  <si>
    <t>担当者の氏名</t>
  </si>
  <si>
    <t>担当者の電話番号</t>
  </si>
  <si>
    <t>-</t>
  </si>
  <si>
    <t>　　工事監理者</t>
  </si>
  <si>
    <t>　　建築確認</t>
  </si>
  <si>
    <t>　　除却工事施工者</t>
  </si>
  <si>
    <t xml:space="preserve"> 　※受付経由機関記載欄</t>
  </si>
  <si>
    <t>【１．着工及び工事完了の予定期日】</t>
  </si>
  <si>
    <t>イ．着工予定期日</t>
  </si>
  <si>
    <t>ロ．工事完了予定期日</t>
  </si>
  <si>
    <t>【２．建築主】</t>
  </si>
  <si>
    <t>イ．建築主の種別</t>
  </si>
  <si>
    <t>(1)国</t>
  </si>
  <si>
    <t>(2)都道府県</t>
  </si>
  <si>
    <t>(3)市区町村</t>
  </si>
  <si>
    <t>(4)会社</t>
  </si>
  <si>
    <t>(5)会社でない団体</t>
  </si>
  <si>
    <t>(6)個人</t>
  </si>
  <si>
    <t>ロ．資本の額又は
    出資の総額</t>
  </si>
  <si>
    <t>【３．敷地の位置】</t>
  </si>
  <si>
    <t>イ．地名地番</t>
  </si>
  <si>
    <t>ロ．都市計画</t>
  </si>
  <si>
    <t>(1)市街化区域</t>
  </si>
  <si>
    <t>(2)市街化調整区域</t>
  </si>
  <si>
    <t>(3)区域区分非設定都市計画区域</t>
  </si>
  <si>
    <t>(4)準都市計画区域</t>
  </si>
  <si>
    <t>(5)都市計画区域及び準都市計画区域外</t>
  </si>
  <si>
    <t>【４．工事種別】</t>
  </si>
  <si>
    <t>(1)新築</t>
  </si>
  <si>
    <t>(2)増築</t>
  </si>
  <si>
    <t>(3)改築</t>
  </si>
  <si>
    <t>(4)移転</t>
  </si>
  <si>
    <t>【５．主要用途】</t>
  </si>
  <si>
    <t>（注意欄に記載の記号を記入してください）</t>
  </si>
  <si>
    <t>【６．一の建築物ごとの内容】</t>
  </si>
  <si>
    <t>イ．番号</t>
  </si>
  <si>
    <t>ロ．物件名</t>
  </si>
  <si>
    <r>
      <t xml:space="preserve">ハ．用途
</t>
    </r>
    <r>
      <rPr>
        <sz val="9"/>
        <color theme="1"/>
        <rFont val="ＭＳ 明朝"/>
        <family val="1"/>
        <charset val="128"/>
      </rPr>
      <t>（注意欄に記載の記号を
　記入してください）</t>
    </r>
  </si>
  <si>
    <r>
      <t xml:space="preserve">ニ．工事部分の構造
</t>
    </r>
    <r>
      <rPr>
        <sz val="9"/>
        <color theme="1"/>
        <rFont val="ＭＳ 明朝"/>
        <family val="1"/>
        <charset val="128"/>
      </rPr>
      <t>（注意欄に記載の記号を
　記入してください）</t>
    </r>
  </si>
  <si>
    <t>ホ．工事の予定期間</t>
  </si>
  <si>
    <t>月間</t>
  </si>
  <si>
    <t>ヘ．工事部分の
　　  床面積の合計</t>
  </si>
  <si>
    <r>
      <t xml:space="preserve">ト．用途ごとの工事部
　　分の床面積
</t>
    </r>
    <r>
      <rPr>
        <sz val="9"/>
        <color theme="1"/>
        <rFont val="ＭＳ 明朝"/>
        <family val="1"/>
        <charset val="128"/>
      </rPr>
      <t>（工事部分の用途が１種類
　のみであり、ハの用途と
　同一である場合は、記入
　不要です。）</t>
    </r>
  </si>
  <si>
    <t>①</t>
  </si>
  <si>
    <t>床面積</t>
  </si>
  <si>
    <t>②</t>
  </si>
  <si>
    <t>③</t>
  </si>
  <si>
    <t>チ．建築工事費予定額</t>
  </si>
  <si>
    <t>万円</t>
  </si>
  <si>
    <t>消費税込み</t>
  </si>
  <si>
    <t>リ．新築工事の場合に
　　おける地上の階数</t>
  </si>
  <si>
    <t>ヌ．新築工事の場合に
　　おける地下の階数</t>
  </si>
  <si>
    <t>【１．住宅部分の概要】</t>
  </si>
  <si>
    <t>ロ．新設又は
　　　その他の別</t>
  </si>
  <si>
    <t>ハ．新設住宅の資金</t>
  </si>
  <si>
    <t>ニ．住宅の建築工法</t>
  </si>
  <si>
    <t>(1)在来工法</t>
  </si>
  <si>
    <t>(2)プレハブ工法</t>
  </si>
  <si>
    <t>(3)枠組壁工法</t>
  </si>
  <si>
    <t>ホ．住宅の種類</t>
  </si>
  <si>
    <t>(1)専用住宅</t>
  </si>
  <si>
    <t>(2)併用住宅</t>
  </si>
  <si>
    <t>(3)その他の住宅</t>
  </si>
  <si>
    <t>ヘ．住宅の建て方</t>
  </si>
  <si>
    <t>ト．利用関係</t>
  </si>
  <si>
    <t>(1)持家　</t>
  </si>
  <si>
    <t>(2)貸家　　</t>
  </si>
  <si>
    <t>チ．住宅の戸数</t>
  </si>
  <si>
    <t>リ．工事部分の
　　床面積の合計</t>
  </si>
  <si>
    <t>【２．除却建築物の概要】</t>
  </si>
  <si>
    <t>　イ．産業分類</t>
  </si>
  <si>
    <t>イ．主要用途</t>
  </si>
  <si>
    <t xml:space="preserve">  ロ．除却原因</t>
  </si>
  <si>
    <t>ロ．除却原因</t>
  </si>
  <si>
    <t>(1)老朽して危険があるため</t>
  </si>
  <si>
    <t>　ハ．構造</t>
  </si>
  <si>
    <t>ハ．構造</t>
  </si>
  <si>
    <t>(1)木造</t>
  </si>
  <si>
    <t>　ニ．建築物の数</t>
  </si>
  <si>
    <t>ニ．建築物の数</t>
  </si>
  <si>
    <t>棟</t>
  </si>
  <si>
    <t>　ホ．住宅の戸数</t>
  </si>
  <si>
    <t>ホ．住宅の戸数</t>
  </si>
  <si>
    <t>　チ．住宅の利用関係</t>
  </si>
  <si>
    <t>ヘ．住宅の利用関係</t>
  </si>
  <si>
    <t>ト．建築物の床面積の合計</t>
  </si>
  <si>
    <t>　ヌ．建築物の評価額</t>
  </si>
  <si>
    <t>チ．建築物の評価額</t>
  </si>
  <si>
    <t>08082</t>
  </si>
  <si>
    <t>08132</t>
  </si>
  <si>
    <t>08152</t>
  </si>
  <si>
    <t>08192</t>
  </si>
  <si>
    <t>08630</t>
  </si>
  <si>
    <t>08640</t>
  </si>
  <si>
    <t>08650</t>
  </si>
  <si>
    <t>06</t>
  </si>
  <si>
    <t>　　建築主2</t>
  </si>
  <si>
    <t>委任状　主要用途　中間・完了時にも表示するように修正</t>
  </si>
  <si>
    <t>**lastalter_shinsei_build_YOUTO</t>
  </si>
  <si>
    <t>cst_lastalter_shinsei_build_YOUTO</t>
  </si>
  <si>
    <t>佐藤</t>
  </si>
  <si>
    <t>建築工事届_2410　除却工事施工者他　書式設定を文字列に修正</t>
  </si>
  <si>
    <t>三木　章史 三木　恵</t>
  </si>
  <si>
    <t>香川県丸亀市飯山町下法軍寺字島田737番3</t>
  </si>
  <si>
    <t>丸亀市飯山町下法軍寺字島田737番3</t>
  </si>
  <si>
    <t>香川県</t>
  </si>
  <si>
    <t>三木章史・恵様邸新築工事</t>
  </si>
  <si>
    <t>ﾐｷｱｷﾌﾐ・ﾒｸﾞﾐｻﾏﾃｲｼﾝﾁｸｺｳｼﾞ</t>
  </si>
  <si>
    <t>香川県高松市東山崎町13-2</t>
  </si>
  <si>
    <t>一級建築士国土交通大臣登録第380565号</t>
  </si>
  <si>
    <t>一級建築士事務所香川県知事登録第2347号</t>
  </si>
  <si>
    <t>株式会社コラボハウス一級建築士事務所</t>
  </si>
  <si>
    <t>2347</t>
  </si>
  <si>
    <t>380565</t>
  </si>
  <si>
    <t>武智　且洋</t>
  </si>
  <si>
    <t>087-813-0909</t>
  </si>
  <si>
    <t>国土交通大臣</t>
  </si>
  <si>
    <t>761-0312</t>
  </si>
  <si>
    <t>1</t>
  </si>
  <si>
    <t>0</t>
  </si>
  <si>
    <t>愛媛県松山市束本1丁目6-10　2F</t>
  </si>
  <si>
    <t>一級建築士国土交通大臣登録第339014号</t>
  </si>
  <si>
    <t>一級建築士事務所愛媛県知事登録第3002号</t>
  </si>
  <si>
    <t>愛媛県</t>
  </si>
  <si>
    <t>339014</t>
  </si>
  <si>
    <t>白形　真</t>
  </si>
  <si>
    <t>089-947-1313</t>
  </si>
  <si>
    <t>790-0916</t>
  </si>
  <si>
    <t>株式会社香川県建築住宅センター</t>
  </si>
  <si>
    <t>軸組みの工事及び当該軸組の部材を緊結する工事</t>
  </si>
  <si>
    <t>香川県丸亀市三条町1206番地1　キッシングラミーC棟201号</t>
  </si>
  <si>
    <t>三木　章史</t>
  </si>
  <si>
    <t>ﾐｷ　ｱｷﾌﾐ</t>
  </si>
  <si>
    <t>090-5914-2655</t>
  </si>
  <si>
    <t>763-0094</t>
  </si>
  <si>
    <t>三木　恵</t>
  </si>
  <si>
    <t>ﾐｷ　ﾒｸﾞﾐ</t>
  </si>
  <si>
    <t>090-5718-4090</t>
  </si>
  <si>
    <t>株式会社コラボハウス一級建築士事務所 白形　真</t>
  </si>
  <si>
    <t>3002</t>
  </si>
  <si>
    <t>愛媛県松山市束本1丁目6-10 2F</t>
  </si>
  <si>
    <t>株式会社コラボハウス</t>
  </si>
  <si>
    <t>松坂　直樹</t>
  </si>
  <si>
    <t>国土交通大臣第(特-2)27833号</t>
  </si>
  <si>
    <t>(特-2)27833</t>
  </si>
  <si>
    <t>宣言書</t>
    <rPh sb="0" eb="3">
      <t>センゲンショ</t>
    </rPh>
    <phoneticPr fontId="31"/>
  </si>
  <si>
    <t>　　設計住宅性能評価、長期優良住宅等計画認定又は長期使用構造等の確認（以下「設計住</t>
    <rPh sb="2" eb="4">
      <t>セッケイ</t>
    </rPh>
    <rPh sb="4" eb="6">
      <t>ジュウタク</t>
    </rPh>
    <rPh sb="6" eb="10">
      <t>セイノウヒョウカ</t>
    </rPh>
    <rPh sb="11" eb="13">
      <t>チョウキ</t>
    </rPh>
    <rPh sb="13" eb="15">
      <t>ユウリョウ</t>
    </rPh>
    <rPh sb="15" eb="17">
      <t>ジュウタク</t>
    </rPh>
    <rPh sb="17" eb="18">
      <t>トウ</t>
    </rPh>
    <rPh sb="18" eb="20">
      <t>ケイカク</t>
    </rPh>
    <rPh sb="20" eb="22">
      <t>ニンテイ</t>
    </rPh>
    <rPh sb="22" eb="23">
      <t>マタ</t>
    </rPh>
    <rPh sb="24" eb="26">
      <t>チョウキ</t>
    </rPh>
    <rPh sb="26" eb="28">
      <t>シヨウ</t>
    </rPh>
    <rPh sb="28" eb="30">
      <t>コウゾウ</t>
    </rPh>
    <rPh sb="30" eb="31">
      <t>トウ</t>
    </rPh>
    <rPh sb="32" eb="34">
      <t>カクニン</t>
    </rPh>
    <rPh sb="35" eb="37">
      <t>イカ</t>
    </rPh>
    <rPh sb="38" eb="40">
      <t>セッケイ</t>
    </rPh>
    <rPh sb="40" eb="41">
      <t>ジュウ</t>
    </rPh>
    <phoneticPr fontId="31"/>
  </si>
  <si>
    <t>宅性能評価等」という。）を受けることにより、建築物エネルギー消費性能適合判定（以下「省エ</t>
    <rPh sb="0" eb="1">
      <t>タク</t>
    </rPh>
    <rPh sb="1" eb="5">
      <t>セイノウヒョウカ</t>
    </rPh>
    <rPh sb="5" eb="6">
      <t>トウ</t>
    </rPh>
    <rPh sb="13" eb="14">
      <t>ウ</t>
    </rPh>
    <rPh sb="22" eb="25">
      <t>ケンチクブツ</t>
    </rPh>
    <rPh sb="30" eb="34">
      <t>ショウヒセイノウ</t>
    </rPh>
    <rPh sb="34" eb="38">
      <t>テキゴウハンテイ</t>
    </rPh>
    <rPh sb="39" eb="41">
      <t>イカ</t>
    </rPh>
    <rPh sb="42" eb="43">
      <t>ショウ</t>
    </rPh>
    <phoneticPr fontId="31"/>
  </si>
  <si>
    <t>ネ適判」という。）を省略することを予定しておりますが、設計住宅性能評価書、長期優良住宅</t>
    <rPh sb="1" eb="3">
      <t>テキハン</t>
    </rPh>
    <rPh sb="10" eb="12">
      <t>ショウリャク</t>
    </rPh>
    <rPh sb="17" eb="19">
      <t>ヨテイ</t>
    </rPh>
    <rPh sb="27" eb="31">
      <t>セッケイジュウタク</t>
    </rPh>
    <rPh sb="31" eb="36">
      <t>セイノウヒョウカショ</t>
    </rPh>
    <rPh sb="37" eb="43">
      <t>チョウキユウリョウジュウタク</t>
    </rPh>
    <phoneticPr fontId="31"/>
  </si>
  <si>
    <t>建築等計画の認定通知書若しくは長期使用構造等である旨の確認書又はその写し（以下「評</t>
    <rPh sb="0" eb="2">
      <t>ケンチク</t>
    </rPh>
    <rPh sb="2" eb="3">
      <t>トウ</t>
    </rPh>
    <rPh sb="3" eb="5">
      <t>ケイカク</t>
    </rPh>
    <rPh sb="6" eb="8">
      <t>ニンテイ</t>
    </rPh>
    <rPh sb="8" eb="11">
      <t>ツウチショ</t>
    </rPh>
    <rPh sb="11" eb="12">
      <t>モ</t>
    </rPh>
    <rPh sb="15" eb="22">
      <t>チョウキシヨウコウゾウトウ</t>
    </rPh>
    <rPh sb="25" eb="26">
      <t>ムネ</t>
    </rPh>
    <rPh sb="27" eb="30">
      <t>カクニンショ</t>
    </rPh>
    <rPh sb="30" eb="31">
      <t>マタ</t>
    </rPh>
    <rPh sb="34" eb="35">
      <t>ウツ</t>
    </rPh>
    <rPh sb="37" eb="39">
      <t>イカ</t>
    </rPh>
    <rPh sb="40" eb="41">
      <t>ヒョウ</t>
    </rPh>
    <phoneticPr fontId="31"/>
  </si>
  <si>
    <t>宣言書を取り下げるものとします。</t>
    <rPh sb="0" eb="3">
      <t>センゲンショ</t>
    </rPh>
    <rPh sb="4" eb="5">
      <t>ト</t>
    </rPh>
    <rPh sb="6" eb="7">
      <t>サ</t>
    </rPh>
    <phoneticPr fontId="31"/>
  </si>
  <si>
    <t>記</t>
    <rPh sb="0" eb="1">
      <t>キ</t>
    </rPh>
    <phoneticPr fontId="31"/>
  </si>
  <si>
    <t>１．提出予定の評価書等又はその写しについて</t>
    <rPh sb="2" eb="6">
      <t>テイシュツヨテイ</t>
    </rPh>
    <rPh sb="7" eb="11">
      <t>ヒョウカショトウ</t>
    </rPh>
    <rPh sb="11" eb="12">
      <t>マタ</t>
    </rPh>
    <rPh sb="15" eb="16">
      <t>ウツ</t>
    </rPh>
    <phoneticPr fontId="31"/>
  </si>
  <si>
    <t>□</t>
    <phoneticPr fontId="31"/>
  </si>
  <si>
    <t>２．設計住宅性能評価等の申請状況について</t>
    <rPh sb="2" eb="4">
      <t>セッケイ</t>
    </rPh>
    <rPh sb="4" eb="10">
      <t>ジュウタクセイノウヒョウカ</t>
    </rPh>
    <rPh sb="10" eb="11">
      <t>トウ</t>
    </rPh>
    <rPh sb="12" eb="16">
      <t>シンセイジョウキョウ</t>
    </rPh>
    <phoneticPr fontId="31"/>
  </si>
  <si>
    <t>　申請済　　　 申請年月日　</t>
    <rPh sb="1" eb="4">
      <t>シンセイスミ</t>
    </rPh>
    <rPh sb="8" eb="10">
      <t>シンセイ</t>
    </rPh>
    <rPh sb="10" eb="13">
      <t>ネンガッピ</t>
    </rPh>
    <phoneticPr fontId="31"/>
  </si>
  <si>
    <t>　申請予定　　申請予定年月日</t>
    <rPh sb="1" eb="5">
      <t>シンセイヨテイ</t>
    </rPh>
    <rPh sb="7" eb="9">
      <t>シンセイ</t>
    </rPh>
    <rPh sb="9" eb="14">
      <t>ヨテイネンガッピ</t>
    </rPh>
    <phoneticPr fontId="31"/>
  </si>
  <si>
    <t>申請先の名称</t>
    <rPh sb="0" eb="3">
      <t>シンセイサキ</t>
    </rPh>
    <rPh sb="4" eb="6">
      <t>メイショウ</t>
    </rPh>
    <phoneticPr fontId="31"/>
  </si>
  <si>
    <t>及び所在地※</t>
    <rPh sb="0" eb="1">
      <t>オヨ</t>
    </rPh>
    <rPh sb="2" eb="5">
      <t>ショザイチ</t>
    </rPh>
    <phoneticPr fontId="31"/>
  </si>
  <si>
    <t>※申請先の名称について、１．の（1）､(3)を選択した場合は登録住宅性能評価機関の名称を、１．</t>
    <rPh sb="1" eb="4">
      <t>シンセイサキ</t>
    </rPh>
    <rPh sb="5" eb="7">
      <t>メイショウ</t>
    </rPh>
    <rPh sb="23" eb="25">
      <t>センタク</t>
    </rPh>
    <rPh sb="27" eb="29">
      <t>バアイ</t>
    </rPh>
    <rPh sb="30" eb="34">
      <t>トウロクジュウタク</t>
    </rPh>
    <rPh sb="34" eb="40">
      <t>セイノウヒョウカキカン</t>
    </rPh>
    <rPh sb="41" eb="43">
      <t>メイショウ</t>
    </rPh>
    <phoneticPr fontId="31"/>
  </si>
  <si>
    <t>　の（2）を選択した場合は認定の申請をする建設地の所管行政庁名をご記入ください。</t>
    <rPh sb="6" eb="8">
      <t>センタク</t>
    </rPh>
    <rPh sb="10" eb="12">
      <t>バアイ</t>
    </rPh>
    <rPh sb="13" eb="15">
      <t>ニンテイ</t>
    </rPh>
    <rPh sb="16" eb="18">
      <t>シンセイ</t>
    </rPh>
    <rPh sb="21" eb="24">
      <t>ケンセツチ</t>
    </rPh>
    <rPh sb="25" eb="30">
      <t>ショカンギョウセイチョウ</t>
    </rPh>
    <rPh sb="30" eb="31">
      <t>メイ</t>
    </rPh>
    <rPh sb="33" eb="35">
      <t>キニュウ</t>
    </rPh>
    <phoneticPr fontId="31"/>
  </si>
  <si>
    <t>※所在地の記載は、○○県○○市、郡○○町、村、程度で結構です。</t>
    <rPh sb="1" eb="4">
      <t>ショザイチ</t>
    </rPh>
    <rPh sb="5" eb="7">
      <t>キサイ</t>
    </rPh>
    <rPh sb="11" eb="12">
      <t>ケン</t>
    </rPh>
    <rPh sb="14" eb="15">
      <t>シ</t>
    </rPh>
    <rPh sb="16" eb="17">
      <t>グン</t>
    </rPh>
    <rPh sb="19" eb="20">
      <t>チョウ</t>
    </rPh>
    <rPh sb="21" eb="22">
      <t>ムラ</t>
    </rPh>
    <rPh sb="23" eb="25">
      <t>テイド</t>
    </rPh>
    <rPh sb="26" eb="28">
      <t>ケッコウ</t>
    </rPh>
    <phoneticPr fontId="31"/>
  </si>
  <si>
    <t>記載欄</t>
    <rPh sb="0" eb="3">
      <t>キサイラン</t>
    </rPh>
    <phoneticPr fontId="31"/>
  </si>
  <si>
    <t>設計住宅性能評価等の提出等</t>
    <rPh sb="0" eb="8">
      <t>セッケイジュウタクセイノウヒョウカ</t>
    </rPh>
    <rPh sb="8" eb="9">
      <t>トウ</t>
    </rPh>
    <rPh sb="10" eb="12">
      <t>テイシュツ</t>
    </rPh>
    <rPh sb="12" eb="13">
      <t>トウ</t>
    </rPh>
    <phoneticPr fontId="31"/>
  </si>
  <si>
    <t>提出無</t>
    <rPh sb="0" eb="2">
      <t>テイシュツ</t>
    </rPh>
    <rPh sb="2" eb="3">
      <t>ナ</t>
    </rPh>
    <phoneticPr fontId="31"/>
  </si>
  <si>
    <t>提出有</t>
    <rPh sb="0" eb="2">
      <t>テイシュツ</t>
    </rPh>
    <rPh sb="2" eb="3">
      <t>アリ</t>
    </rPh>
    <phoneticPr fontId="31"/>
  </si>
  <si>
    <t>その他</t>
    <rPh sb="2" eb="3">
      <t>タ</t>
    </rPh>
    <phoneticPr fontId="31"/>
  </si>
  <si>
    <t>（令和</t>
    <rPh sb="1" eb="3">
      <t>レイワ</t>
    </rPh>
    <phoneticPr fontId="31"/>
  </si>
  <si>
    <t>年</t>
    <rPh sb="0" eb="1">
      <t>ネン</t>
    </rPh>
    <phoneticPr fontId="31"/>
  </si>
  <si>
    <t>（提出日　　 令和</t>
    <rPh sb="1" eb="3">
      <t>テイシュツ</t>
    </rPh>
    <rPh sb="3" eb="4">
      <t>ビ</t>
    </rPh>
    <rPh sb="7" eb="9">
      <t>レイワ</t>
    </rPh>
    <phoneticPr fontId="31"/>
  </si>
  <si>
    <t>月</t>
    <rPh sb="0" eb="1">
      <t>ツキ</t>
    </rPh>
    <phoneticPr fontId="31"/>
  </si>
  <si>
    <t>日</t>
    <rPh sb="0" eb="1">
      <t>ニチ</t>
    </rPh>
    <phoneticPr fontId="31"/>
  </si>
  <si>
    <t>日）</t>
    <rPh sb="0" eb="1">
      <t>ニチ</t>
    </rPh>
    <phoneticPr fontId="31"/>
  </si>
  <si>
    <t>（本書の取下げ）</t>
    <rPh sb="1" eb="3">
      <t>ホンショ</t>
    </rPh>
    <rPh sb="4" eb="6">
      <t>トリサ</t>
    </rPh>
    <phoneticPr fontId="31"/>
  </si>
  <si>
    <t>（</t>
    <phoneticPr fontId="31"/>
  </si>
  <si>
    <t>受付欄</t>
    <rPh sb="0" eb="3">
      <t>ウケツケラン</t>
    </rPh>
    <phoneticPr fontId="31"/>
  </si>
  <si>
    <t>）</t>
    <phoneticPr fontId="31"/>
  </si>
  <si>
    <t>令和</t>
    <rPh sb="0" eb="2">
      <t>レイワ</t>
    </rPh>
    <phoneticPr fontId="31"/>
  </si>
  <si>
    <t>長期優良住宅建築等計画の認定通知書</t>
    <rPh sb="0" eb="2">
      <t>チョウキ</t>
    </rPh>
    <rPh sb="2" eb="6">
      <t>ユウリョウジュウタク</t>
    </rPh>
    <rPh sb="6" eb="9">
      <t>ケンチクトウ</t>
    </rPh>
    <rPh sb="9" eb="11">
      <t>ケイカク</t>
    </rPh>
    <rPh sb="12" eb="17">
      <t>ニンテイツウチショ</t>
    </rPh>
    <phoneticPr fontId="31"/>
  </si>
  <si>
    <t>長期使用構造等である旨の確認書</t>
    <rPh sb="0" eb="7">
      <t>チョウキシヨウコウゾウトウ</t>
    </rPh>
    <rPh sb="10" eb="11">
      <t>ムネ</t>
    </rPh>
    <rPh sb="12" eb="15">
      <t>カクニンショ</t>
    </rPh>
    <phoneticPr fontId="31"/>
  </si>
  <si>
    <t>設計住宅性能評価書</t>
    <rPh sb="0" eb="4">
      <t>セッケイジュウタク</t>
    </rPh>
    <rPh sb="4" eb="8">
      <t>セイノウヒョウカ</t>
    </rPh>
    <rPh sb="8" eb="9">
      <t>ショ</t>
    </rPh>
    <phoneticPr fontId="31"/>
  </si>
  <si>
    <t>価書等又はその写し」という。」を提出できないときは、省エネ適判を受けることとし、その際は本</t>
    <rPh sb="0" eb="1">
      <t>カ</t>
    </rPh>
    <rPh sb="1" eb="2">
      <t>ショ</t>
    </rPh>
    <rPh sb="2" eb="3">
      <t>トウ</t>
    </rPh>
    <rPh sb="3" eb="4">
      <t>マタ</t>
    </rPh>
    <rPh sb="7" eb="8">
      <t>ウツ</t>
    </rPh>
    <rPh sb="16" eb="18">
      <t>テイシュツ</t>
    </rPh>
    <rPh sb="26" eb="27">
      <t>ショウ</t>
    </rPh>
    <rPh sb="29" eb="31">
      <t>テキハン</t>
    </rPh>
    <rPh sb="32" eb="33">
      <t>ウ</t>
    </rPh>
    <rPh sb="42" eb="43">
      <t>サイ</t>
    </rPh>
    <rPh sb="44" eb="45">
      <t>ホン</t>
    </rPh>
    <phoneticPr fontId="31"/>
  </si>
  <si>
    <t>株式会社　香川県建築住宅センター　様</t>
    <rPh sb="0" eb="4">
      <t>カブシキガイシャ</t>
    </rPh>
    <rPh sb="5" eb="8">
      <t>カガワケン</t>
    </rPh>
    <rPh sb="8" eb="10">
      <t>ケンチク</t>
    </rPh>
    <rPh sb="10" eb="12">
      <t>ジュウタク</t>
    </rPh>
    <rPh sb="17" eb="18">
      <t>サマ</t>
    </rPh>
    <phoneticPr fontId="31"/>
  </si>
  <si>
    <t>建築主又は設計者の氏名</t>
    <rPh sb="9" eb="11">
      <t>シメイ</t>
    </rPh>
    <phoneticPr fontId="31"/>
  </si>
  <si>
    <t>建築主又は設計者の住所</t>
    <rPh sb="9" eb="11">
      <t>ジュウショ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</si>
</sst>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yyyy/m/d;@"/>
    <numFmt numFmtId="177" formatCode="#,##0.00_ "/>
    <numFmt numFmtId="178" formatCode="#,##0.000_ "/>
    <numFmt numFmtId="179" formatCode="0000"/>
    <numFmt numFmtId="180" formatCode="#,##0_ "/>
    <numFmt numFmtId="181" formatCode="[$-411]ggge&quot;年&quot;m&quot;月&quot;d&quot;日&quot;;@"/>
    <numFmt numFmtId="182" formatCode="#,##0.00_);[Red]\(#,##0.00\)"/>
    <numFmt numFmtId="183" formatCode="0_ "/>
    <numFmt numFmtId="184" formatCode="yyyy/mm/dd"/>
    <numFmt numFmtId="185" formatCode="[$-411]ggge&quot;年&quot;mm&quot;月&quot;dd&quot;日 ( &quot;aaa&quot; )&quot;;@"/>
    <numFmt numFmtId="186" formatCode="[$-F800]dddd\,\ mmmm\ dd\,\ yyyy"/>
    <numFmt numFmtId="187" formatCode="e"/>
    <numFmt numFmtId="188" formatCode="m"/>
    <numFmt numFmtId="189" formatCode="d"/>
    <numFmt numFmtId="190" formatCode="ggg"/>
    <numFmt numFmtId="191" formatCode="[$-411]ggg"/>
    <numFmt numFmtId="192" formatCode="yyyy&quot;年&quot;m&quot;月&quot;d&quot;日&quot;;@"/>
    <numFmt numFmtId="193" formatCode="0_);[Red]\(0\)"/>
    <numFmt numFmtId="194" formatCode="#,##0_);[Red]\(#,##0\)"/>
    <numFmt numFmtId="195" formatCode="0_);\(0\)"/>
  </numFmts>
  <fonts count="35" x14ac:knownFonts="1">
    <font>
      <sz val="11"/>
      <color theme="1"/>
      <name val="ＭＳ Ｐゴシック"/>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5"/>
      <color theme="1"/>
      <name val="ＭＳ Ｐ明朝"/>
      <family val="1"/>
      <charset val="128"/>
    </font>
    <font>
      <sz val="11"/>
      <color indexed="8"/>
      <name val="ＭＳ 明朝"/>
      <family val="1"/>
      <charset val="128"/>
    </font>
    <font>
      <sz val="11"/>
      <color theme="1"/>
      <name val="ＭＳ 明朝"/>
      <family val="1"/>
      <charset val="128"/>
    </font>
    <font>
      <sz val="10"/>
      <color theme="1"/>
      <name val="ＭＳ 明朝"/>
      <family val="1"/>
      <charset val="128"/>
    </font>
    <font>
      <sz val="9"/>
      <color indexed="10"/>
      <name val="ＭＳ Ｐゴシック"/>
      <family val="3"/>
      <charset val="128"/>
    </font>
    <font>
      <sz val="10.5"/>
      <color theme="1"/>
      <name val="ＭＳ 明朝"/>
      <family val="1"/>
      <charset val="128"/>
    </font>
    <font>
      <sz val="9"/>
      <color indexed="81"/>
      <name val="ＭＳ Ｐゴシック"/>
      <family val="3"/>
      <charset val="128"/>
    </font>
    <font>
      <b/>
      <sz val="10"/>
      <color theme="1"/>
      <name val="ＭＳ Ｐ明朝"/>
      <family val="1"/>
      <charset val="128"/>
    </font>
    <font>
      <sz val="10"/>
      <color rgb="FFFF0000"/>
      <name val="ＭＳ Ｐゴシック"/>
      <family val="3"/>
      <charset val="128"/>
    </font>
    <font>
      <u/>
      <sz val="11"/>
      <color theme="10"/>
      <name val="ＭＳ Ｐゴシック"/>
      <family val="3"/>
      <charset val="128"/>
      <scheme val="minor"/>
    </font>
    <font>
      <b/>
      <sz val="11"/>
      <color theme="1"/>
      <name val="ＭＳ Ｐ明朝"/>
      <family val="1"/>
      <charset val="128"/>
    </font>
    <font>
      <sz val="10"/>
      <color indexed="8"/>
      <name val="ＭＳ Ｐゴシック"/>
      <family val="3"/>
      <charset val="128"/>
    </font>
    <font>
      <b/>
      <sz val="9"/>
      <color indexed="81"/>
      <name val="ＭＳ Ｐゴシック"/>
      <family val="3"/>
      <charset val="128"/>
    </font>
    <font>
      <sz val="9"/>
      <color indexed="8"/>
      <name val="ＭＳ Ｐ明朝"/>
      <family val="1"/>
      <charset val="128"/>
    </font>
    <font>
      <b/>
      <sz val="14"/>
      <color theme="1"/>
      <name val="ＭＳ 明朝"/>
      <family val="1"/>
      <charset val="128"/>
    </font>
    <font>
      <b/>
      <sz val="14"/>
      <color theme="1"/>
      <name val="ＭＳ Ｐ明朝"/>
      <family val="1"/>
      <charset val="128"/>
    </font>
    <font>
      <sz val="9"/>
      <color theme="1"/>
      <name val="ＭＳ 明朝"/>
      <family val="1"/>
      <charset val="128"/>
    </font>
    <font>
      <sz val="16"/>
      <color theme="1"/>
      <name val="ＭＳ 明朝"/>
      <family val="1"/>
      <charset val="128"/>
    </font>
    <font>
      <sz val="10.5"/>
      <color theme="1"/>
      <name val="游ゴシック"/>
      <family val="3"/>
      <charset val="128"/>
    </font>
    <font>
      <sz val="12"/>
      <color indexed="81"/>
      <name val="ＭＳ Ｐゴシック"/>
      <family val="3"/>
      <charset val="128"/>
      <scheme val="minor"/>
    </font>
    <font>
      <sz val="11"/>
      <color theme="1"/>
      <name val="ＭＳ Ｐゴシック"/>
      <family val="3"/>
      <charset val="128"/>
    </font>
    <font>
      <sz val="6"/>
      <name val="ＭＳ Ｐゴシック"/>
      <family val="3"/>
      <charset val="128"/>
    </font>
    <font>
      <sz val="6"/>
      <name val="ＭＳ Ｐゴシック"/>
      <charset val="128"/>
    </font>
    <font>
      <sz val="16"/>
      <color theme="1"/>
      <name val="ＭＳ Ｐ明朝"/>
      <family val="1"/>
      <charset val="128"/>
    </font>
    <font>
      <sz val="11"/>
      <name val="ＭＳ Ｐ明朝"/>
      <family val="1"/>
      <charset val="128"/>
    </font>
  </fonts>
  <fills count="2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29"/>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FFFF99"/>
        <bgColor indexed="64"/>
      </patternFill>
    </fill>
    <fill>
      <patternFill patternType="solid">
        <fgColor rgb="FF00FF00"/>
        <bgColor indexed="64"/>
      </patternFill>
    </fill>
    <fill>
      <patternFill patternType="solid">
        <fgColor rgb="FF99CCFF"/>
        <bgColor indexed="64"/>
      </patternFill>
    </fill>
    <fill>
      <patternFill patternType="solid">
        <fgColor rgb="FFFFFF00"/>
        <bgColor indexed="64"/>
      </patternFill>
    </fill>
    <fill>
      <patternFill patternType="solid">
        <fgColor rgb="FF99CC00"/>
        <bgColor indexed="64"/>
      </patternFill>
    </fill>
    <fill>
      <patternFill patternType="solid">
        <fgColor indexed="9"/>
        <bgColor indexed="64"/>
      </patternFill>
    </fill>
    <fill>
      <patternFill patternType="solid">
        <fgColor indexed="26"/>
        <bgColor indexed="64"/>
      </patternFill>
    </fill>
    <fill>
      <patternFill patternType="solid">
        <fgColor theme="8" tint="0.59999389629810485"/>
        <bgColor indexed="64"/>
      </patternFill>
    </fill>
    <fill>
      <patternFill patternType="solid">
        <fgColor theme="8" tint="0.59996337778862885"/>
        <bgColor indexed="64"/>
      </patternFill>
    </fill>
  </fills>
  <borders count="6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right style="thin">
        <color auto="1"/>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top/>
      <bottom style="thin">
        <color auto="1"/>
      </bottom>
      <diagonal/>
    </border>
    <border>
      <left/>
      <right/>
      <top/>
      <bottom style="dotted">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thin">
        <color indexed="64"/>
      </left>
      <right style="thin">
        <color indexed="64"/>
      </right>
      <top style="hair">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hair">
        <color indexed="64"/>
      </right>
      <top/>
      <bottom/>
      <diagonal/>
    </border>
    <border>
      <left/>
      <right/>
      <top/>
      <bottom style="thin">
        <color theme="0" tint="-0.24994659260841701"/>
      </bottom>
      <diagonal/>
    </border>
    <border>
      <left/>
      <right/>
      <top/>
      <bottom style="thin">
        <color theme="0" tint="-0.249977111117893"/>
      </bottom>
      <diagonal/>
    </border>
    <border>
      <left/>
      <right/>
      <top style="thin">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9" fillId="0" borderId="0" applyNumberFormat="0" applyAlignment="0" applyProtection="0">
      <alignment vertical="center"/>
    </xf>
    <xf numFmtId="0" fontId="1" fillId="0" borderId="0">
      <alignment vertical="center"/>
    </xf>
    <xf numFmtId="0" fontId="30" fillId="0" borderId="0">
      <alignment vertical="center"/>
    </xf>
    <xf numFmtId="0" fontId="30" fillId="0" borderId="0">
      <alignment vertical="center"/>
    </xf>
  </cellStyleXfs>
  <cellXfs count="919">
    <xf numFmtId="0" fontId="0" fillId="0" borderId="0" xfId="0">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49" fontId="0" fillId="0" borderId="0" xfId="0" applyNumberFormat="1">
      <alignment vertical="center"/>
    </xf>
    <xf numFmtId="0" fontId="0" fillId="6" borderId="0" xfId="0" applyFill="1">
      <alignment vertical="center"/>
    </xf>
    <xf numFmtId="0" fontId="0" fillId="4" borderId="0" xfId="0" applyFill="1">
      <alignment vertical="center"/>
    </xf>
    <xf numFmtId="0" fontId="0" fillId="7" borderId="0" xfId="0" applyFill="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5" borderId="3" xfId="0" applyFont="1" applyFill="1" applyBorder="1" applyAlignment="1">
      <alignment vertical="center" wrapText="1"/>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xf>
    <xf numFmtId="0" fontId="19" fillId="0" borderId="0" xfId="1" applyNumberFormat="1" applyAlignment="1" applyProtection="1">
      <alignment vertical="center"/>
    </xf>
    <xf numFmtId="0" fontId="13" fillId="0" borderId="0" xfId="0" applyFont="1" applyProtection="1">
      <alignment vertical="center"/>
      <protection locked="0"/>
    </xf>
    <xf numFmtId="0" fontId="19" fillId="0" borderId="0" xfId="1" applyNumberFormat="1" applyAlignment="1" applyProtection="1">
      <alignment horizontal="center" vertical="center"/>
    </xf>
    <xf numFmtId="0" fontId="0" fillId="0" borderId="0" xfId="0" applyProtection="1">
      <alignment vertical="center"/>
      <protection locked="0"/>
    </xf>
    <xf numFmtId="0" fontId="15" fillId="0" borderId="0" xfId="0" applyFont="1">
      <alignment vertical="center"/>
    </xf>
    <xf numFmtId="0" fontId="0" fillId="0" borderId="0" xfId="0" applyAlignment="1">
      <alignment horizontal="center" vertical="center"/>
    </xf>
    <xf numFmtId="0" fontId="2" fillId="0" borderId="2" xfId="0" applyFont="1" applyBorder="1" applyProtection="1">
      <alignment vertical="center"/>
      <protection locked="0"/>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 xfId="0" applyFont="1" applyFill="1" applyBorder="1" applyAlignment="1">
      <alignment vertical="center" shrinkToFit="1"/>
    </xf>
    <xf numFmtId="0" fontId="2" fillId="2" borderId="4" xfId="0" applyFont="1" applyFill="1" applyBorder="1" applyAlignment="1">
      <alignment vertical="center" shrinkToFit="1"/>
    </xf>
    <xf numFmtId="0" fontId="2" fillId="8" borderId="0" xfId="0" applyFont="1" applyFill="1" applyAlignment="1">
      <alignment vertical="center" wrapText="1"/>
    </xf>
    <xf numFmtId="0" fontId="21" fillId="0" borderId="0" xfId="0" applyFont="1">
      <alignment vertical="center"/>
    </xf>
    <xf numFmtId="49" fontId="2" fillId="0" borderId="0" xfId="0" applyNumberFormat="1"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49" fontId="2" fillId="8" borderId="3" xfId="0" applyNumberFormat="1" applyFont="1" applyFill="1" applyBorder="1" applyAlignment="1">
      <alignment horizontal="left" vertical="center"/>
    </xf>
    <xf numFmtId="49" fontId="2" fillId="8" borderId="6" xfId="0" applyNumberFormat="1" applyFont="1" applyFill="1" applyBorder="1" applyAlignment="1">
      <alignment horizontal="left" vertical="center"/>
    </xf>
    <xf numFmtId="49" fontId="2" fillId="8" borderId="3" xfId="0" applyNumberFormat="1" applyFont="1" applyFill="1" applyBorder="1" applyAlignment="1">
      <alignment horizontal="left" vertical="top"/>
    </xf>
    <xf numFmtId="49" fontId="2" fillId="8" borderId="7" xfId="0" applyNumberFormat="1" applyFont="1" applyFill="1" applyBorder="1" applyAlignment="1">
      <alignment horizontal="left" vertical="center"/>
    </xf>
    <xf numFmtId="49" fontId="2" fillId="8" borderId="8" xfId="0" applyNumberFormat="1" applyFont="1" applyFill="1" applyBorder="1" applyAlignment="1">
      <alignment horizontal="left" vertical="center"/>
    </xf>
    <xf numFmtId="0" fontId="2" fillId="8" borderId="9" xfId="0" applyFont="1" applyFill="1" applyBorder="1">
      <alignment vertical="center"/>
    </xf>
    <xf numFmtId="0" fontId="2" fillId="2" borderId="9" xfId="0" applyFont="1" applyFill="1" applyBorder="1" applyAlignment="1">
      <alignment vertical="center" wrapText="1"/>
    </xf>
    <xf numFmtId="0" fontId="2" fillId="8" borderId="0" xfId="0" applyFont="1" applyFill="1">
      <alignment vertical="center"/>
    </xf>
    <xf numFmtId="0" fontId="2" fillId="2" borderId="7" xfId="0" applyFont="1" applyFill="1" applyBorder="1" applyAlignment="1">
      <alignment vertical="center" wrapText="1"/>
    </xf>
    <xf numFmtId="0" fontId="2" fillId="8" borderId="1" xfId="0" applyFont="1" applyFill="1" applyBorder="1" applyAlignment="1">
      <alignment vertical="center" wrapText="1"/>
    </xf>
    <xf numFmtId="0" fontId="2" fillId="8" borderId="5" xfId="0" applyFont="1" applyFill="1" applyBorder="1" applyAlignment="1">
      <alignment vertical="center" wrapText="1"/>
    </xf>
    <xf numFmtId="0" fontId="2" fillId="8" borderId="1" xfId="0" applyFont="1" applyFill="1" applyBorder="1">
      <alignment vertical="center"/>
    </xf>
    <xf numFmtId="0" fontId="2" fillId="8" borderId="5" xfId="0" applyFont="1" applyFill="1" applyBorder="1">
      <alignment vertical="center"/>
    </xf>
    <xf numFmtId="0" fontId="2" fillId="8" borderId="3" xfId="0" applyFont="1" applyFill="1" applyBorder="1">
      <alignment vertical="center"/>
    </xf>
    <xf numFmtId="0" fontId="2" fillId="8" borderId="4" xfId="0" applyFont="1" applyFill="1" applyBorder="1">
      <alignment vertical="center"/>
    </xf>
    <xf numFmtId="0" fontId="2" fillId="9" borderId="1" xfId="0" applyFont="1" applyFill="1" applyBorder="1" applyAlignment="1">
      <alignment vertical="center" wrapText="1"/>
    </xf>
    <xf numFmtId="0" fontId="2" fillId="9" borderId="5" xfId="0" applyFont="1" applyFill="1" applyBorder="1" applyAlignment="1">
      <alignment vertical="center" wrapText="1"/>
    </xf>
    <xf numFmtId="0" fontId="2" fillId="9" borderId="9" xfId="0" applyFont="1" applyFill="1" applyBorder="1" applyAlignment="1">
      <alignment vertical="center" wrapText="1"/>
    </xf>
    <xf numFmtId="0" fontId="2" fillId="9" borderId="10" xfId="0" applyFont="1" applyFill="1" applyBorder="1" applyAlignment="1">
      <alignment vertical="center" wrapText="1"/>
    </xf>
    <xf numFmtId="0" fontId="2" fillId="9" borderId="11" xfId="0" applyFont="1" applyFill="1" applyBorder="1" applyAlignment="1">
      <alignment vertical="center" wrapText="1"/>
    </xf>
    <xf numFmtId="0" fontId="2" fillId="0" borderId="0" xfId="0" applyFont="1" applyAlignment="1">
      <alignment horizontal="left" vertical="center" wrapText="1"/>
    </xf>
    <xf numFmtId="0" fontId="2" fillId="8" borderId="12" xfId="0" applyFont="1" applyFill="1" applyBorder="1" applyAlignment="1">
      <alignment vertical="center" wrapText="1"/>
    </xf>
    <xf numFmtId="0" fontId="2" fillId="9" borderId="8" xfId="0" applyFont="1" applyFill="1" applyBorder="1" applyAlignment="1">
      <alignment vertical="center" wrapText="1"/>
    </xf>
    <xf numFmtId="0" fontId="2" fillId="2" borderId="0" xfId="0" applyFont="1" applyFill="1">
      <alignment vertical="center"/>
    </xf>
    <xf numFmtId="0" fontId="2" fillId="9" borderId="3" xfId="0" applyFont="1" applyFill="1" applyBorder="1">
      <alignment vertical="center"/>
    </xf>
    <xf numFmtId="0" fontId="2" fillId="9" borderId="4" xfId="0" applyFont="1" applyFill="1" applyBorder="1">
      <alignment vertical="center"/>
    </xf>
    <xf numFmtId="0" fontId="2" fillId="8" borderId="13" xfId="0" applyFont="1" applyFill="1" applyBorder="1">
      <alignment vertical="center"/>
    </xf>
    <xf numFmtId="0" fontId="2" fillId="9" borderId="7" xfId="0" applyFont="1" applyFill="1" applyBorder="1" applyAlignment="1">
      <alignment horizontal="left" vertical="center"/>
    </xf>
    <xf numFmtId="0" fontId="3" fillId="10" borderId="0" xfId="0" applyFont="1" applyFill="1" applyAlignment="1">
      <alignment horizontal="left" vertical="center"/>
    </xf>
    <xf numFmtId="0" fontId="2" fillId="8" borderId="6" xfId="0" applyFont="1" applyFill="1" applyBorder="1">
      <alignment vertical="center"/>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8" xfId="0" applyFont="1" applyFill="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49" fontId="2" fillId="8" borderId="17" xfId="0" applyNumberFormat="1" applyFont="1" applyFill="1" applyBorder="1">
      <alignment vertical="center"/>
    </xf>
    <xf numFmtId="0" fontId="2" fillId="8" borderId="17" xfId="0" applyFont="1" applyFill="1" applyBorder="1">
      <alignment vertical="center"/>
    </xf>
    <xf numFmtId="0" fontId="2" fillId="8" borderId="18" xfId="0" applyFont="1" applyFill="1" applyBorder="1">
      <alignment vertical="center"/>
    </xf>
    <xf numFmtId="0" fontId="2" fillId="9" borderId="17" xfId="0" applyFont="1" applyFill="1" applyBorder="1" applyAlignment="1">
      <alignment vertical="center" wrapText="1"/>
    </xf>
    <xf numFmtId="0" fontId="2" fillId="8" borderId="17" xfId="0" applyFont="1" applyFill="1" applyBorder="1" applyAlignment="1">
      <alignment vertical="center" wrapText="1"/>
    </xf>
    <xf numFmtId="49" fontId="2" fillId="8" borderId="17" xfId="0" applyNumberFormat="1" applyFont="1" applyFill="1" applyBorder="1" applyAlignment="1">
      <alignment horizontal="left" vertical="top"/>
    </xf>
    <xf numFmtId="49" fontId="2" fillId="8" borderId="17" xfId="0" applyNumberFormat="1" applyFont="1" applyFill="1" applyBorder="1" applyAlignment="1">
      <alignment horizontal="left" vertical="center"/>
    </xf>
    <xf numFmtId="0" fontId="21" fillId="8" borderId="18" xfId="0" applyFont="1" applyFill="1" applyBorder="1">
      <alignment vertical="center"/>
    </xf>
    <xf numFmtId="0" fontId="2" fillId="8" borderId="19" xfId="0" applyFont="1" applyFill="1" applyBorder="1">
      <alignment vertical="center"/>
    </xf>
    <xf numFmtId="0" fontId="2" fillId="2" borderId="17" xfId="0" applyFont="1" applyFill="1" applyBorder="1" applyAlignment="1">
      <alignment vertical="center" shrinkToFit="1"/>
    </xf>
    <xf numFmtId="0" fontId="2" fillId="8" borderId="3" xfId="0" applyFont="1" applyFill="1" applyBorder="1" applyAlignment="1">
      <alignment vertical="center" wrapText="1"/>
    </xf>
    <xf numFmtId="0" fontId="2" fillId="8" borderId="4" xfId="0" applyFont="1" applyFill="1" applyBorder="1" applyAlignment="1">
      <alignment vertical="center" wrapText="1"/>
    </xf>
    <xf numFmtId="0" fontId="2" fillId="8" borderId="18" xfId="0" applyFont="1" applyFill="1" applyBorder="1" applyAlignment="1">
      <alignment vertical="center" wrapText="1"/>
    </xf>
    <xf numFmtId="0" fontId="2" fillId="2" borderId="20" xfId="0" applyFont="1" applyFill="1" applyBorder="1" applyAlignment="1">
      <alignment vertical="center" wrapText="1"/>
    </xf>
    <xf numFmtId="0" fontId="2" fillId="2" borderId="1" xfId="0" applyFont="1" applyFill="1" applyBorder="1">
      <alignment vertical="center"/>
    </xf>
    <xf numFmtId="0" fontId="2" fillId="8" borderId="14" xfId="0" applyFont="1" applyFill="1" applyBorder="1">
      <alignment vertical="center"/>
    </xf>
    <xf numFmtId="49" fontId="2" fillId="2" borderId="3" xfId="0" applyNumberFormat="1" applyFont="1" applyFill="1" applyBorder="1">
      <alignment vertical="center"/>
    </xf>
    <xf numFmtId="49" fontId="2" fillId="2" borderId="3" xfId="0" applyNumberFormat="1" applyFont="1" applyFill="1" applyBorder="1" applyAlignment="1">
      <alignment vertical="center" shrinkToFit="1"/>
    </xf>
    <xf numFmtId="49" fontId="2" fillId="2" borderId="4" xfId="0" applyNumberFormat="1" applyFont="1" applyFill="1" applyBorder="1" applyAlignment="1">
      <alignment vertical="center" shrinkToFit="1"/>
    </xf>
    <xf numFmtId="49" fontId="2" fillId="2" borderId="7" xfId="0" applyNumberFormat="1" applyFont="1" applyFill="1" applyBorder="1">
      <alignment vertical="center"/>
    </xf>
    <xf numFmtId="49" fontId="2" fillId="2" borderId="16" xfId="0" applyNumberFormat="1" applyFont="1" applyFill="1" applyBorder="1" applyAlignment="1">
      <alignment vertical="center" shrinkToFit="1"/>
    </xf>
    <xf numFmtId="49" fontId="2" fillId="2" borderId="20" xfId="0" applyNumberFormat="1" applyFont="1" applyFill="1" applyBorder="1" applyAlignment="1">
      <alignment vertical="center" shrinkToFit="1"/>
    </xf>
    <xf numFmtId="49" fontId="2" fillId="2" borderId="21" xfId="0" applyNumberFormat="1" applyFont="1" applyFill="1" applyBorder="1" applyAlignment="1">
      <alignment vertical="center" shrinkToFit="1"/>
    </xf>
    <xf numFmtId="0" fontId="2" fillId="2" borderId="5" xfId="0" applyFont="1" applyFill="1" applyBorder="1" applyAlignment="1">
      <alignment vertical="center" shrinkToFit="1"/>
    </xf>
    <xf numFmtId="0" fontId="2" fillId="2" borderId="13" xfId="0" applyFont="1" applyFill="1" applyBorder="1" applyAlignment="1">
      <alignment vertical="center" shrinkToFit="1"/>
    </xf>
    <xf numFmtId="0" fontId="2" fillId="8" borderId="1" xfId="0" applyFont="1" applyFill="1" applyBorder="1" applyAlignment="1">
      <alignment vertical="center" shrinkToFit="1"/>
    </xf>
    <xf numFmtId="0" fontId="2" fillId="8" borderId="5" xfId="0" applyFont="1" applyFill="1" applyBorder="1" applyAlignment="1">
      <alignment vertical="center" shrinkToFit="1"/>
    </xf>
    <xf numFmtId="176" fontId="2" fillId="0" borderId="0" xfId="0" applyNumberFormat="1" applyFont="1" applyAlignment="1">
      <alignment horizontal="left" vertical="center"/>
    </xf>
    <xf numFmtId="0" fontId="13" fillId="8" borderId="15" xfId="0" applyFont="1" applyFill="1" applyBorder="1" applyProtection="1">
      <alignment vertical="center"/>
      <protection locked="0"/>
    </xf>
    <xf numFmtId="0" fontId="13" fillId="8" borderId="0" xfId="0" applyFont="1" applyFill="1" applyProtection="1">
      <alignment vertical="center"/>
      <protection locked="0"/>
    </xf>
    <xf numFmtId="0" fontId="13" fillId="8" borderId="3" xfId="0" applyFont="1" applyFill="1" applyBorder="1" applyProtection="1">
      <alignment vertical="center"/>
      <protection locked="0"/>
    </xf>
    <xf numFmtId="0" fontId="2" fillId="8" borderId="22" xfId="0" applyFont="1" applyFill="1" applyBorder="1">
      <alignment vertical="center"/>
    </xf>
    <xf numFmtId="49" fontId="2" fillId="0" borderId="0" xfId="0" applyNumberFormat="1" applyFont="1">
      <alignment vertical="center"/>
    </xf>
    <xf numFmtId="0" fontId="2" fillId="8" borderId="23" xfId="0" applyFont="1" applyFill="1" applyBorder="1">
      <alignment vertical="center"/>
    </xf>
    <xf numFmtId="177" fontId="2" fillId="0" borderId="0" xfId="0" applyNumberFormat="1" applyFont="1">
      <alignment vertical="center"/>
    </xf>
    <xf numFmtId="177" fontId="2" fillId="0" borderId="0" xfId="0" applyNumberFormat="1" applyFont="1" applyAlignment="1">
      <alignment horizontal="left" vertical="center"/>
    </xf>
    <xf numFmtId="0" fontId="2" fillId="8" borderId="15" xfId="0" applyFont="1" applyFill="1" applyBorder="1">
      <alignment vertical="center"/>
    </xf>
    <xf numFmtId="0" fontId="2" fillId="8" borderId="8" xfId="0" applyFont="1" applyFill="1" applyBorder="1">
      <alignment vertical="center"/>
    </xf>
    <xf numFmtId="0" fontId="2" fillId="9" borderId="5" xfId="0" applyFont="1" applyFill="1" applyBorder="1">
      <alignment vertical="center"/>
    </xf>
    <xf numFmtId="0" fontId="2" fillId="9" borderId="3" xfId="0" applyFont="1" applyFill="1" applyBorder="1" applyAlignment="1">
      <alignment vertical="center" wrapText="1"/>
    </xf>
    <xf numFmtId="0" fontId="2" fillId="9" borderId="17" xfId="0" applyFont="1" applyFill="1" applyBorder="1">
      <alignment vertical="center"/>
    </xf>
    <xf numFmtId="0" fontId="2" fillId="9" borderId="18" xfId="0" applyFont="1" applyFill="1" applyBorder="1" applyAlignment="1">
      <alignment vertical="center" wrapText="1"/>
    </xf>
    <xf numFmtId="0" fontId="2" fillId="8" borderId="17" xfId="0" applyFont="1" applyFill="1" applyBorder="1" applyAlignment="1">
      <alignment horizontal="left" vertical="center"/>
    </xf>
    <xf numFmtId="0" fontId="2" fillId="9" borderId="0" xfId="0" applyFont="1" applyFill="1">
      <alignment vertical="center"/>
    </xf>
    <xf numFmtId="0" fontId="2" fillId="9" borderId="4" xfId="0" applyFont="1" applyFill="1" applyBorder="1" applyAlignment="1">
      <alignment vertical="center" wrapText="1"/>
    </xf>
    <xf numFmtId="0" fontId="2" fillId="2" borderId="13" xfId="0" applyFont="1" applyFill="1" applyBorder="1" applyAlignment="1">
      <alignment vertical="center" wrapText="1"/>
    </xf>
    <xf numFmtId="0" fontId="2" fillId="0" borderId="0" xfId="0" applyFont="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lignment vertical="center"/>
    </xf>
    <xf numFmtId="0" fontId="2" fillId="11" borderId="27"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26"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12" xfId="0" applyFont="1" applyBorder="1" applyAlignment="1">
      <alignment vertical="center" wrapText="1"/>
    </xf>
    <xf numFmtId="0" fontId="2" fillId="0" borderId="23" xfId="0" applyFont="1" applyBorder="1" applyAlignment="1">
      <alignment vertical="center" wrapText="1"/>
    </xf>
    <xf numFmtId="0" fontId="2" fillId="8" borderId="17" xfId="0" applyFont="1" applyFill="1" applyBorder="1" applyAlignment="1">
      <alignment horizontal="left" vertical="center" wrapText="1"/>
    </xf>
    <xf numFmtId="0" fontId="2" fillId="5" borderId="5" xfId="0" applyFont="1" applyFill="1" applyBorder="1" applyAlignment="1">
      <alignment horizontal="right" vertical="center" wrapText="1"/>
    </xf>
    <xf numFmtId="0" fontId="2" fillId="5" borderId="17"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49" fontId="2" fillId="2" borderId="16" xfId="0" applyNumberFormat="1" applyFont="1" applyFill="1" applyBorder="1">
      <alignment vertical="center"/>
    </xf>
    <xf numFmtId="0" fontId="2" fillId="8" borderId="9" xfId="0" applyFont="1" applyFill="1" applyBorder="1" applyAlignment="1">
      <alignment vertical="center" wrapText="1"/>
    </xf>
    <xf numFmtId="49" fontId="2" fillId="8" borderId="9" xfId="0" applyNumberFormat="1" applyFont="1" applyFill="1" applyBorder="1" applyAlignment="1">
      <alignment vertical="center" wrapText="1"/>
    </xf>
    <xf numFmtId="0" fontId="2" fillId="8" borderId="11" xfId="0" applyFont="1" applyFill="1" applyBorder="1" applyAlignment="1">
      <alignment vertical="center" wrapText="1"/>
    </xf>
    <xf numFmtId="0" fontId="2" fillId="8" borderId="0" xfId="0" applyFont="1" applyFill="1" applyAlignment="1">
      <alignment horizontal="left" vertical="center"/>
    </xf>
    <xf numFmtId="0" fontId="18" fillId="0" borderId="0" xfId="0" applyFont="1">
      <alignment vertical="center"/>
    </xf>
    <xf numFmtId="49" fontId="2" fillId="11" borderId="1" xfId="0" applyNumberFormat="1" applyFont="1" applyFill="1" applyBorder="1" applyAlignment="1">
      <alignment horizontal="left" vertical="center"/>
    </xf>
    <xf numFmtId="0" fontId="2" fillId="11" borderId="5" xfId="0" applyFont="1" applyFill="1" applyBorder="1">
      <alignment vertical="center"/>
    </xf>
    <xf numFmtId="49" fontId="2" fillId="11" borderId="3" xfId="0" applyNumberFormat="1" applyFont="1" applyFill="1" applyBorder="1" applyAlignment="1">
      <alignment horizontal="left" vertical="center"/>
    </xf>
    <xf numFmtId="49" fontId="2" fillId="11" borderId="4" xfId="0" applyNumberFormat="1" applyFont="1" applyFill="1" applyBorder="1" applyAlignment="1">
      <alignment horizontal="left" vertical="center"/>
    </xf>
    <xf numFmtId="0" fontId="2" fillId="11" borderId="17" xfId="0" applyFont="1" applyFill="1" applyBorder="1">
      <alignment vertical="center"/>
    </xf>
    <xf numFmtId="0" fontId="2" fillId="11" borderId="18" xfId="0" applyFont="1" applyFill="1" applyBorder="1">
      <alignment vertical="center"/>
    </xf>
    <xf numFmtId="0" fontId="2" fillId="12" borderId="14" xfId="0" applyFont="1" applyFill="1" applyBorder="1">
      <alignment vertical="center"/>
    </xf>
    <xf numFmtId="0" fontId="2" fillId="12" borderId="15" xfId="0" applyFont="1" applyFill="1" applyBorder="1">
      <alignment vertical="center"/>
    </xf>
    <xf numFmtId="49" fontId="2" fillId="11" borderId="7" xfId="0" applyNumberFormat="1" applyFont="1" applyFill="1" applyBorder="1" applyAlignment="1">
      <alignment vertical="center" wrapText="1"/>
    </xf>
    <xf numFmtId="49" fontId="2" fillId="11" borderId="8" xfId="0" applyNumberFormat="1" applyFont="1" applyFill="1" applyBorder="1" applyAlignment="1">
      <alignment vertical="center" wrapText="1"/>
    </xf>
    <xf numFmtId="49" fontId="2" fillId="11" borderId="16" xfId="0" applyNumberFormat="1" applyFont="1" applyFill="1" applyBorder="1" applyAlignment="1">
      <alignment vertical="center" wrapText="1"/>
    </xf>
    <xf numFmtId="49" fontId="2" fillId="11" borderId="32" xfId="0" applyNumberFormat="1" applyFont="1" applyFill="1" applyBorder="1" applyAlignment="1">
      <alignment vertical="center" wrapText="1"/>
    </xf>
    <xf numFmtId="0" fontId="2" fillId="11" borderId="7" xfId="0" applyFont="1" applyFill="1" applyBorder="1" applyAlignment="1">
      <alignment vertical="center" wrapText="1"/>
    </xf>
    <xf numFmtId="0" fontId="2" fillId="11" borderId="8" xfId="0" applyFont="1" applyFill="1" applyBorder="1" applyAlignment="1">
      <alignment vertical="center" wrapText="1"/>
    </xf>
    <xf numFmtId="0" fontId="2" fillId="11" borderId="16" xfId="0" applyFont="1" applyFill="1" applyBorder="1" applyAlignment="1">
      <alignment vertical="center" wrapText="1"/>
    </xf>
    <xf numFmtId="0" fontId="2" fillId="11" borderId="32" xfId="0" applyFont="1" applyFill="1" applyBorder="1" applyAlignment="1">
      <alignment vertical="center" wrapText="1"/>
    </xf>
    <xf numFmtId="49" fontId="2" fillId="11" borderId="3" xfId="0" applyNumberFormat="1" applyFont="1" applyFill="1" applyBorder="1">
      <alignment vertical="center"/>
    </xf>
    <xf numFmtId="49" fontId="2" fillId="11" borderId="6" xfId="0" applyNumberFormat="1" applyFont="1" applyFill="1" applyBorder="1" applyAlignment="1">
      <alignment vertical="center" wrapText="1"/>
    </xf>
    <xf numFmtId="0" fontId="2" fillId="11" borderId="3" xfId="0" applyFont="1" applyFill="1" applyBorder="1" applyAlignment="1">
      <alignment vertical="center" wrapText="1"/>
    </xf>
    <xf numFmtId="0" fontId="2" fillId="11" borderId="17" xfId="0" applyFont="1" applyFill="1" applyBorder="1" applyAlignment="1">
      <alignment horizontal="left" vertical="center" wrapText="1"/>
    </xf>
    <xf numFmtId="0" fontId="2" fillId="11" borderId="4" xfId="0" applyFont="1" applyFill="1" applyBorder="1" applyAlignment="1">
      <alignment vertical="center" wrapText="1"/>
    </xf>
    <xf numFmtId="0" fontId="2" fillId="11" borderId="18" xfId="0" applyFont="1" applyFill="1" applyBorder="1" applyAlignment="1">
      <alignment horizontal="right" vertical="center" wrapText="1"/>
    </xf>
    <xf numFmtId="0" fontId="2" fillId="8" borderId="12" xfId="0" applyFont="1" applyFill="1" applyBorder="1">
      <alignment vertical="center"/>
    </xf>
    <xf numFmtId="0" fontId="2" fillId="8" borderId="7" xfId="0" applyFont="1" applyFill="1" applyBorder="1">
      <alignment vertical="center"/>
    </xf>
    <xf numFmtId="0" fontId="2" fillId="8" borderId="16" xfId="0" applyFont="1" applyFill="1" applyBorder="1">
      <alignment vertical="center"/>
    </xf>
    <xf numFmtId="49" fontId="2" fillId="8" borderId="1" xfId="0" applyNumberFormat="1" applyFont="1" applyFill="1" applyBorder="1" applyAlignment="1">
      <alignment horizontal="left" vertical="center"/>
    </xf>
    <xf numFmtId="0" fontId="2" fillId="8" borderId="4" xfId="0" applyFont="1" applyFill="1" applyBorder="1" applyAlignment="1">
      <alignment horizontal="left" vertical="center"/>
    </xf>
    <xf numFmtId="0" fontId="2" fillId="8" borderId="5" xfId="0" applyFont="1" applyFill="1" applyBorder="1" applyAlignment="1">
      <alignment horizontal="left" vertical="center"/>
    </xf>
    <xf numFmtId="49" fontId="2" fillId="8" borderId="14" xfId="0" applyNumberFormat="1" applyFont="1" applyFill="1" applyBorder="1">
      <alignment vertical="center"/>
    </xf>
    <xf numFmtId="0" fontId="2" fillId="11" borderId="9" xfId="0" applyFont="1" applyFill="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27" xfId="0" applyFont="1" applyBorder="1" applyAlignment="1">
      <alignment horizontal="center" vertical="center"/>
    </xf>
    <xf numFmtId="0" fontId="2" fillId="0" borderId="13" xfId="0" applyFont="1" applyBorder="1">
      <alignment vertical="center"/>
    </xf>
    <xf numFmtId="0" fontId="2" fillId="0" borderId="4" xfId="0" applyFont="1" applyBorder="1">
      <alignment vertical="center"/>
    </xf>
    <xf numFmtId="184" fontId="2" fillId="0" borderId="0" xfId="0" applyNumberFormat="1" applyFont="1">
      <alignment vertical="center"/>
    </xf>
    <xf numFmtId="0" fontId="2" fillId="8" borderId="36" xfId="0" applyFont="1" applyFill="1" applyBorder="1">
      <alignment vertical="center"/>
    </xf>
    <xf numFmtId="49" fontId="2" fillId="8" borderId="7" xfId="0" applyNumberFormat="1" applyFont="1" applyFill="1" applyBorder="1">
      <alignment vertical="center"/>
    </xf>
    <xf numFmtId="49" fontId="2" fillId="8" borderId="3" xfId="0" applyNumberFormat="1" applyFont="1" applyFill="1" applyBorder="1">
      <alignment vertical="center"/>
    </xf>
    <xf numFmtId="49" fontId="2" fillId="8" borderId="16" xfId="0" applyNumberFormat="1" applyFont="1" applyFill="1" applyBorder="1">
      <alignment vertical="center"/>
    </xf>
    <xf numFmtId="49" fontId="2" fillId="8" borderId="4" xfId="0" applyNumberFormat="1" applyFont="1" applyFill="1" applyBorder="1">
      <alignment vertical="center"/>
    </xf>
    <xf numFmtId="0" fontId="3" fillId="8" borderId="0" xfId="0" applyFont="1" applyFill="1">
      <alignment vertical="center"/>
    </xf>
    <xf numFmtId="0" fontId="4" fillId="13" borderId="37" xfId="0" applyFont="1" applyFill="1" applyBorder="1" applyAlignment="1">
      <alignment horizontal="left" vertical="center"/>
    </xf>
    <xf numFmtId="185" fontId="2" fillId="0" borderId="0" xfId="0" applyNumberFormat="1" applyFont="1" applyAlignment="1">
      <alignment horizontal="center" vertical="center"/>
    </xf>
    <xf numFmtId="183" fontId="4" fillId="13" borderId="0" xfId="0" applyNumberFormat="1" applyFont="1" applyFill="1" applyAlignment="1">
      <alignment horizontal="center" vertical="center" shrinkToFit="1"/>
    </xf>
    <xf numFmtId="178" fontId="2" fillId="0" borderId="0" xfId="0" applyNumberFormat="1" applyFont="1" applyAlignment="1">
      <alignment horizontal="left" vertical="center"/>
    </xf>
    <xf numFmtId="49" fontId="2" fillId="9" borderId="3" xfId="0" applyNumberFormat="1" applyFont="1" applyFill="1" applyBorder="1">
      <alignment vertical="center"/>
    </xf>
    <xf numFmtId="49" fontId="2" fillId="9" borderId="3" xfId="0" applyNumberFormat="1" applyFont="1" applyFill="1" applyBorder="1" applyAlignment="1">
      <alignment vertical="center" wrapText="1"/>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21" fillId="8" borderId="4" xfId="0" applyFont="1" applyFill="1" applyBorder="1">
      <alignment vertical="center"/>
    </xf>
    <xf numFmtId="0" fontId="2" fillId="12" borderId="3" xfId="0" applyFont="1" applyFill="1" applyBorder="1" applyAlignment="1">
      <alignment vertical="center" wrapText="1"/>
    </xf>
    <xf numFmtId="0" fontId="2" fillId="12" borderId="6" xfId="0" applyFont="1" applyFill="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0" fillId="0" borderId="0" xfId="0" applyAlignment="1">
      <alignment horizontal="left" vertical="center"/>
    </xf>
    <xf numFmtId="0" fontId="2" fillId="8" borderId="6" xfId="0" applyFont="1" applyFill="1" applyBorder="1" applyAlignment="1">
      <alignment horizontal="left" vertical="center" wrapText="1"/>
    </xf>
    <xf numFmtId="176" fontId="0" fillId="0" borderId="0" xfId="0" applyNumberFormat="1" applyAlignment="1">
      <alignment horizontal="left" vertical="center"/>
    </xf>
    <xf numFmtId="0" fontId="2" fillId="11" borderId="38" xfId="0" applyFont="1" applyFill="1" applyBorder="1" applyAlignment="1">
      <alignment vertical="center" wrapText="1"/>
    </xf>
    <xf numFmtId="0" fontId="2" fillId="11" borderId="2" xfId="0" applyFont="1" applyFill="1" applyBorder="1" applyAlignment="1">
      <alignment vertical="center" wrapText="1"/>
    </xf>
    <xf numFmtId="0" fontId="2" fillId="8" borderId="2" xfId="0" applyFont="1" applyFill="1" applyBorder="1">
      <alignment vertical="center"/>
    </xf>
    <xf numFmtId="0" fontId="2" fillId="8" borderId="38" xfId="0" applyFont="1" applyFill="1" applyBorder="1" applyAlignment="1">
      <alignment vertical="center" wrapText="1"/>
    </xf>
    <xf numFmtId="0" fontId="2" fillId="11" borderId="2" xfId="0" applyFont="1" applyFill="1" applyBorder="1">
      <alignment vertical="center"/>
    </xf>
    <xf numFmtId="0" fontId="2" fillId="11" borderId="23" xfId="0" applyFont="1" applyFill="1" applyBorder="1" applyAlignment="1">
      <alignment vertical="center" wrapText="1"/>
    </xf>
    <xf numFmtId="0" fontId="2" fillId="8" borderId="39" xfId="0" applyFont="1" applyFill="1" applyBorder="1" applyAlignment="1">
      <alignment horizontal="left" vertical="center" wrapText="1"/>
    </xf>
    <xf numFmtId="0" fontId="2" fillId="11" borderId="3" xfId="0" applyFont="1" applyFill="1" applyBorder="1">
      <alignment vertical="center"/>
    </xf>
    <xf numFmtId="0" fontId="2" fillId="11" borderId="6" xfId="0" applyFont="1" applyFill="1" applyBorder="1" applyAlignment="1">
      <alignment vertical="center" wrapText="1"/>
    </xf>
    <xf numFmtId="0" fontId="2" fillId="11" borderId="9" xfId="0" applyFont="1" applyFill="1" applyBorder="1" applyAlignment="1">
      <alignment horizontal="left" vertical="center" wrapText="1"/>
    </xf>
    <xf numFmtId="181" fontId="2" fillId="8" borderId="0" xfId="0" applyNumberFormat="1" applyFont="1" applyFill="1" applyAlignment="1">
      <alignment horizontal="left" vertical="center"/>
    </xf>
    <xf numFmtId="49" fontId="2" fillId="8" borderId="0" xfId="0" applyNumberFormat="1" applyFont="1" applyFill="1" applyAlignment="1">
      <alignment horizontal="left" vertical="center"/>
    </xf>
    <xf numFmtId="49" fontId="2" fillId="8" borderId="0" xfId="0" applyNumberFormat="1" applyFont="1" applyFill="1">
      <alignment vertical="center"/>
    </xf>
    <xf numFmtId="176" fontId="2" fillId="8" borderId="0" xfId="0" applyNumberFormat="1" applyFont="1" applyFill="1" applyAlignment="1">
      <alignment horizontal="left" vertical="center"/>
    </xf>
    <xf numFmtId="0" fontId="2" fillId="11" borderId="0" xfId="0" applyFont="1" applyFill="1" applyAlignment="1">
      <alignment horizontal="left" vertical="center"/>
    </xf>
    <xf numFmtId="0" fontId="0" fillId="11" borderId="0" xfId="0" applyFill="1" applyAlignment="1">
      <alignment horizontal="left" vertical="center"/>
    </xf>
    <xf numFmtId="181" fontId="2" fillId="11" borderId="0" xfId="0" applyNumberFormat="1" applyFont="1" applyFill="1" applyAlignment="1">
      <alignment horizontal="left" vertical="center"/>
    </xf>
    <xf numFmtId="0" fontId="2" fillId="9" borderId="0" xfId="0" applyFont="1" applyFill="1" applyAlignment="1">
      <alignment horizontal="left" vertical="center"/>
    </xf>
    <xf numFmtId="0" fontId="2" fillId="8" borderId="0" xfId="0" applyFont="1" applyFill="1" applyAlignment="1">
      <alignment horizontal="left" vertical="center" wrapText="1"/>
    </xf>
    <xf numFmtId="49" fontId="2" fillId="9" borderId="0" xfId="0" applyNumberFormat="1" applyFont="1" applyFill="1" applyAlignment="1">
      <alignment horizontal="left" vertical="center"/>
    </xf>
    <xf numFmtId="49" fontId="2" fillId="8" borderId="0" xfId="0" applyNumberFormat="1" applyFont="1" applyFill="1" applyProtection="1">
      <alignment vertical="center"/>
      <protection locked="0"/>
    </xf>
    <xf numFmtId="49" fontId="13" fillId="8" borderId="0" xfId="0" applyNumberFormat="1" applyFont="1" applyFill="1" applyProtection="1">
      <alignment vertical="center"/>
      <protection locked="0"/>
    </xf>
    <xf numFmtId="0" fontId="21" fillId="8" borderId="0" xfId="0" applyFont="1" applyFill="1">
      <alignment vertical="center"/>
    </xf>
    <xf numFmtId="0" fontId="2" fillId="8" borderId="0" xfId="0" applyFont="1" applyFill="1" applyProtection="1">
      <alignment vertical="center"/>
      <protection locked="0"/>
    </xf>
    <xf numFmtId="49" fontId="2" fillId="8" borderId="0" xfId="0" applyNumberFormat="1" applyFont="1" applyFill="1" applyAlignment="1">
      <alignment horizontal="left" vertical="top"/>
    </xf>
    <xf numFmtId="0" fontId="2" fillId="8" borderId="0" xfId="0" applyFont="1" applyFill="1" applyAlignment="1">
      <alignment horizontal="left" vertical="top"/>
    </xf>
    <xf numFmtId="178" fontId="2" fillId="9" borderId="0" xfId="0" applyNumberFormat="1" applyFont="1" applyFill="1" applyAlignment="1">
      <alignment horizontal="left" vertical="center"/>
    </xf>
    <xf numFmtId="179" fontId="2" fillId="9" borderId="0" xfId="0" applyNumberFormat="1" applyFont="1" applyFill="1" applyAlignment="1">
      <alignment horizontal="left" vertical="center"/>
    </xf>
    <xf numFmtId="178" fontId="2" fillId="8" borderId="0" xfId="0" applyNumberFormat="1" applyFont="1" applyFill="1" applyAlignment="1">
      <alignment horizontal="left" vertical="center"/>
    </xf>
    <xf numFmtId="177" fontId="2" fillId="8" borderId="0" xfId="0" applyNumberFormat="1" applyFont="1" applyFill="1" applyAlignment="1">
      <alignment horizontal="left" vertical="center"/>
    </xf>
    <xf numFmtId="182" fontId="2" fillId="8" borderId="0" xfId="0" applyNumberFormat="1" applyFont="1" applyFill="1" applyAlignment="1">
      <alignment horizontal="left" vertical="center"/>
    </xf>
    <xf numFmtId="186" fontId="2" fillId="8" borderId="0" xfId="0" applyNumberFormat="1" applyFont="1" applyFill="1" applyAlignment="1">
      <alignment horizontal="left" vertical="center"/>
    </xf>
    <xf numFmtId="184" fontId="2" fillId="8" borderId="0" xfId="0" applyNumberFormat="1" applyFont="1" applyFill="1">
      <alignment vertical="center"/>
    </xf>
    <xf numFmtId="177" fontId="2" fillId="8" borderId="0" xfId="0" applyNumberFormat="1" applyFont="1" applyFill="1">
      <alignment vertical="center"/>
    </xf>
    <xf numFmtId="186" fontId="2" fillId="8" borderId="0" xfId="0" applyNumberFormat="1" applyFont="1" applyFill="1">
      <alignment vertical="center"/>
    </xf>
    <xf numFmtId="186" fontId="2" fillId="13" borderId="0" xfId="0" applyNumberFormat="1" applyFont="1" applyFill="1" applyAlignment="1">
      <alignment horizontal="left" vertical="center"/>
    </xf>
    <xf numFmtId="0" fontId="2" fillId="2" borderId="18" xfId="0" applyFont="1" applyFill="1" applyBorder="1" applyAlignment="1">
      <alignment vertical="center" shrinkToFit="1"/>
    </xf>
    <xf numFmtId="0" fontId="2" fillId="2" borderId="40" xfId="0" applyFont="1" applyFill="1" applyBorder="1" applyAlignment="1">
      <alignment vertical="center" shrinkToFit="1"/>
    </xf>
    <xf numFmtId="0" fontId="4" fillId="13" borderId="0" xfId="0" applyFont="1" applyFill="1" applyAlignment="1">
      <alignment horizontal="left" vertical="center"/>
    </xf>
    <xf numFmtId="0" fontId="13" fillId="0" borderId="0" xfId="0" applyFont="1" applyAlignment="1">
      <alignment horizontal="right" vertical="center"/>
    </xf>
    <xf numFmtId="0" fontId="13" fillId="0" borderId="41" xfId="0" applyFont="1" applyBorder="1">
      <alignment vertical="center"/>
    </xf>
    <xf numFmtId="0" fontId="13" fillId="5" borderId="0" xfId="0" applyFont="1" applyFill="1" applyAlignment="1" applyProtection="1">
      <alignment horizontal="right" vertical="center"/>
      <protection locked="0" hidden="1"/>
    </xf>
    <xf numFmtId="0" fontId="13" fillId="5" borderId="41" xfId="0" applyFont="1" applyFill="1" applyBorder="1" applyAlignment="1" applyProtection="1">
      <alignment horizontal="right" vertical="center"/>
      <protection locked="0" hidden="1"/>
    </xf>
    <xf numFmtId="0" fontId="13" fillId="0" borderId="37" xfId="0" applyFont="1" applyBorder="1">
      <alignment vertical="center"/>
    </xf>
    <xf numFmtId="0" fontId="13" fillId="5" borderId="37" xfId="0" applyFont="1" applyFill="1" applyBorder="1" applyAlignment="1" applyProtection="1">
      <alignment horizontal="right" vertical="center"/>
      <protection locked="0" hidden="1"/>
    </xf>
    <xf numFmtId="0" fontId="13" fillId="0" borderId="41" xfId="0" applyFont="1" applyBorder="1" applyAlignment="1">
      <alignment horizontal="right" vertical="center"/>
    </xf>
    <xf numFmtId="0" fontId="1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shrinkToFit="1"/>
    </xf>
    <xf numFmtId="0" fontId="7" fillId="0" borderId="0" xfId="0" applyFont="1">
      <alignment vertical="center"/>
    </xf>
    <xf numFmtId="0" fontId="4" fillId="0" borderId="0" xfId="0" applyFont="1" applyAlignment="1">
      <alignment horizontal="left" vertical="center"/>
    </xf>
    <xf numFmtId="0" fontId="20" fillId="0" borderId="0" xfId="0" applyFont="1">
      <alignment vertical="center"/>
    </xf>
    <xf numFmtId="0" fontId="7" fillId="0" borderId="41" xfId="0" applyFont="1" applyBorder="1" applyAlignment="1">
      <alignment horizontal="left" vertical="center"/>
    </xf>
    <xf numFmtId="0" fontId="7" fillId="0" borderId="41" xfId="0" applyFont="1" applyBorder="1">
      <alignment vertical="center"/>
    </xf>
    <xf numFmtId="0" fontId="4" fillId="0" borderId="0" xfId="0" applyFont="1" applyAlignment="1">
      <alignment horizontal="left" vertical="top"/>
    </xf>
    <xf numFmtId="0" fontId="4" fillId="0" borderId="0" xfId="0" applyFont="1" applyAlignment="1">
      <alignment vertical="top"/>
    </xf>
    <xf numFmtId="0" fontId="4" fillId="0" borderId="41" xfId="0" applyFont="1" applyBorder="1" applyAlignment="1">
      <alignment horizontal="left" vertical="center"/>
    </xf>
    <xf numFmtId="0" fontId="4" fillId="0" borderId="0" xfId="0" applyFont="1" applyAlignment="1">
      <alignment horizontal="right" vertical="top"/>
    </xf>
    <xf numFmtId="0" fontId="4" fillId="0" borderId="0" xfId="0" applyFont="1" applyAlignment="1">
      <alignment horizontal="center" vertical="top"/>
    </xf>
    <xf numFmtId="0" fontId="4" fillId="0" borderId="41" xfId="0" applyFont="1" applyBorder="1" applyAlignment="1">
      <alignment horizontal="left" vertical="top"/>
    </xf>
    <xf numFmtId="0" fontId="4" fillId="0" borderId="41" xfId="0" applyFont="1" applyBorder="1" applyAlignment="1">
      <alignment vertical="top"/>
    </xf>
    <xf numFmtId="0" fontId="4" fillId="0" borderId="42" xfId="0" applyFont="1" applyBorder="1" applyAlignment="1">
      <alignment horizontal="left" vertical="top"/>
    </xf>
    <xf numFmtId="0" fontId="4" fillId="0" borderId="41" xfId="0" applyFont="1" applyBorder="1" applyAlignment="1">
      <alignment horizontal="right" vertical="top"/>
    </xf>
    <xf numFmtId="0" fontId="4" fillId="0" borderId="42" xfId="0" applyFont="1" applyBorder="1" applyAlignment="1">
      <alignment horizontal="left" vertical="center"/>
    </xf>
    <xf numFmtId="0" fontId="4" fillId="0" borderId="42" xfId="0" applyFont="1" applyBorder="1" applyAlignment="1">
      <alignment vertical="top"/>
    </xf>
    <xf numFmtId="0" fontId="4" fillId="0" borderId="43" xfId="0" applyFont="1" applyBorder="1" applyAlignment="1">
      <alignment vertical="top" wrapText="1"/>
    </xf>
    <xf numFmtId="0" fontId="4" fillId="0" borderId="37" xfId="0" applyFont="1" applyBorder="1" applyAlignment="1">
      <alignment horizontal="left" vertical="center"/>
    </xf>
    <xf numFmtId="0" fontId="3" fillId="0" borderId="37"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top"/>
    </xf>
    <xf numFmtId="0" fontId="4" fillId="0" borderId="41" xfId="0" applyFont="1" applyBorder="1" applyAlignment="1">
      <alignment horizontal="center" vertical="center"/>
    </xf>
    <xf numFmtId="49" fontId="4" fillId="0" borderId="0" xfId="0" applyNumberFormat="1" applyFont="1" applyAlignment="1">
      <alignment horizontal="right" vertical="top"/>
    </xf>
    <xf numFmtId="0" fontId="4" fillId="0" borderId="0" xfId="0" applyFont="1">
      <alignment vertical="center"/>
    </xf>
    <xf numFmtId="0" fontId="0" fillId="0" borderId="41" xfId="0" applyBorder="1">
      <alignment vertical="center"/>
    </xf>
    <xf numFmtId="0" fontId="4" fillId="0" borderId="43"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xf>
    <xf numFmtId="0" fontId="4" fillId="0" borderId="41" xfId="0" applyFont="1" applyBorder="1">
      <alignment vertical="center"/>
    </xf>
    <xf numFmtId="0" fontId="4" fillId="13" borderId="41" xfId="0" applyFont="1" applyFill="1" applyBorder="1" applyAlignment="1">
      <alignment horizontal="left" vertical="center"/>
    </xf>
    <xf numFmtId="0" fontId="4" fillId="0" borderId="41"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center" shrinkToFit="1"/>
    </xf>
    <xf numFmtId="183" fontId="4" fillId="13" borderId="41" xfId="0" applyNumberFormat="1" applyFont="1" applyFill="1" applyBorder="1" applyAlignment="1">
      <alignment horizontal="center" vertical="center" shrinkToFit="1"/>
    </xf>
    <xf numFmtId="0" fontId="4" fillId="0" borderId="0" xfId="0" applyFont="1" applyAlignment="1">
      <alignment vertical="top" wrapText="1"/>
    </xf>
    <xf numFmtId="0" fontId="4" fillId="13" borderId="0" xfId="0" applyFont="1" applyFill="1" applyAlignment="1">
      <alignment horizontal="center" vertical="center"/>
    </xf>
    <xf numFmtId="0" fontId="4" fillId="13" borderId="0" xfId="0" applyFont="1" applyFill="1" applyAlignment="1">
      <alignment horizontal="center" vertical="top" wrapText="1"/>
    </xf>
    <xf numFmtId="0" fontId="3" fillId="0" borderId="43" xfId="0" applyFont="1" applyBorder="1" applyAlignment="1">
      <alignment horizontal="left" vertical="top"/>
    </xf>
    <xf numFmtId="49" fontId="10" fillId="0" borderId="0" xfId="0" applyNumberFormat="1" applyFont="1" applyAlignment="1"/>
    <xf numFmtId="0" fontId="10" fillId="0" borderId="0" xfId="0" applyFont="1" applyAlignment="1"/>
    <xf numFmtId="0" fontId="10" fillId="0" borderId="0" xfId="0" applyFont="1" applyAlignment="1" applyProtection="1">
      <alignment horizontal="left" shrinkToFit="1"/>
      <protection locked="0"/>
    </xf>
    <xf numFmtId="0" fontId="10" fillId="0" borderId="0" xfId="0" applyFont="1">
      <alignment vertical="center"/>
    </xf>
    <xf numFmtId="49" fontId="10" fillId="0" borderId="43" xfId="0" applyNumberFormat="1" applyFont="1" applyBorder="1" applyProtection="1">
      <alignment vertical="center"/>
      <protection locked="0"/>
    </xf>
    <xf numFmtId="0" fontId="10" fillId="0" borderId="43" xfId="0" applyFont="1" applyBorder="1" applyProtection="1">
      <alignment vertical="center"/>
      <protection locked="0"/>
    </xf>
    <xf numFmtId="49" fontId="10" fillId="0" borderId="0" xfId="0" applyNumberFormat="1" applyFont="1" applyProtection="1">
      <alignment vertical="center"/>
      <protection locked="0"/>
    </xf>
    <xf numFmtId="0" fontId="10" fillId="0" borderId="0" xfId="0" applyFont="1" applyProtection="1">
      <alignment vertical="center"/>
      <protection locked="0"/>
    </xf>
    <xf numFmtId="49" fontId="10" fillId="0" borderId="0" xfId="0" applyNumberFormat="1" applyFont="1">
      <alignment vertical="center"/>
    </xf>
    <xf numFmtId="49" fontId="10" fillId="0" borderId="0" xfId="0" applyNumberFormat="1" applyFont="1" applyAlignment="1" applyProtection="1">
      <protection locked="0"/>
    </xf>
    <xf numFmtId="0" fontId="10" fillId="0" borderId="0" xfId="0" applyFont="1" applyAlignment="1" applyProtection="1">
      <protection locked="0"/>
    </xf>
    <xf numFmtId="49" fontId="10" fillId="0" borderId="41" xfId="0" applyNumberFormat="1" applyFont="1" applyBorder="1" applyAlignment="1" applyProtection="1">
      <protection locked="0"/>
    </xf>
    <xf numFmtId="0" fontId="10" fillId="0" borderId="41" xfId="0" applyFont="1" applyBorder="1" applyAlignment="1" applyProtection="1">
      <protection locked="0"/>
    </xf>
    <xf numFmtId="49" fontId="10" fillId="0" borderId="41" xfId="0" applyNumberFormat="1" applyFont="1" applyBorder="1">
      <alignment vertical="center"/>
    </xf>
    <xf numFmtId="0" fontId="10" fillId="0" borderId="41" xfId="0" applyFont="1" applyBorder="1">
      <alignment vertical="center"/>
    </xf>
    <xf numFmtId="0" fontId="10" fillId="0" borderId="43" xfId="0" applyFont="1" applyBorder="1" applyAlignment="1"/>
    <xf numFmtId="187" fontId="13" fillId="5" borderId="0" xfId="0" applyNumberFormat="1" applyFont="1" applyFill="1" applyAlignment="1" applyProtection="1">
      <alignment horizontal="center" vertical="center" shrinkToFit="1"/>
      <protection locked="0"/>
    </xf>
    <xf numFmtId="188" fontId="13" fillId="5" borderId="0" xfId="0" applyNumberFormat="1" applyFont="1" applyFill="1" applyAlignment="1" applyProtection="1">
      <alignment horizontal="center" vertical="center" shrinkToFit="1"/>
      <protection locked="0"/>
    </xf>
    <xf numFmtId="189" fontId="13" fillId="5" borderId="0" xfId="0" applyNumberFormat="1" applyFont="1" applyFill="1" applyAlignment="1" applyProtection="1">
      <alignment horizontal="center" vertical="center" shrinkToFit="1"/>
      <protection locked="0"/>
    </xf>
    <xf numFmtId="187" fontId="13" fillId="5" borderId="0" xfId="0" applyNumberFormat="1" applyFont="1" applyFill="1" applyAlignment="1" applyProtection="1">
      <alignment horizontal="center" vertical="center" shrinkToFit="1"/>
      <protection locked="0" hidden="1"/>
    </xf>
    <xf numFmtId="188" fontId="13" fillId="5" borderId="0" xfId="0" applyNumberFormat="1" applyFont="1" applyFill="1" applyAlignment="1" applyProtection="1">
      <alignment horizontal="center" vertical="center" shrinkToFit="1"/>
      <protection locked="0" hidden="1"/>
    </xf>
    <xf numFmtId="189" fontId="13" fillId="5" borderId="0" xfId="0" applyNumberFormat="1" applyFont="1" applyFill="1" applyAlignment="1" applyProtection="1">
      <alignment horizontal="center" vertical="center" shrinkToFit="1"/>
      <protection locked="0" hidden="1"/>
    </xf>
    <xf numFmtId="176" fontId="2" fillId="0" borderId="0" xfId="0" applyNumberFormat="1" applyFont="1">
      <alignment vertical="center"/>
    </xf>
    <xf numFmtId="0" fontId="2" fillId="0" borderId="27" xfId="0" applyFont="1" applyBorder="1">
      <alignment vertical="center"/>
    </xf>
    <xf numFmtId="176" fontId="2" fillId="0" borderId="27" xfId="0" applyNumberFormat="1" applyFont="1" applyBorder="1">
      <alignment vertical="center"/>
    </xf>
    <xf numFmtId="0" fontId="2" fillId="0" borderId="27" xfId="0" applyFont="1" applyBorder="1" applyAlignment="1">
      <alignment vertical="center" shrinkToFit="1"/>
    </xf>
    <xf numFmtId="0" fontId="2" fillId="0" borderId="44" xfId="0" applyFont="1" applyBorder="1">
      <alignment vertical="center"/>
    </xf>
    <xf numFmtId="0" fontId="2" fillId="0" borderId="45" xfId="0" applyFont="1" applyBorder="1">
      <alignment vertical="center"/>
    </xf>
    <xf numFmtId="176" fontId="2" fillId="0" borderId="46" xfId="0" applyNumberFormat="1" applyFont="1" applyBorder="1">
      <alignment vertical="center"/>
    </xf>
    <xf numFmtId="0" fontId="2" fillId="0" borderId="46" xfId="0" applyFont="1" applyBorder="1">
      <alignment vertical="center"/>
    </xf>
    <xf numFmtId="0" fontId="2" fillId="0" borderId="33" xfId="0" applyFont="1" applyBorder="1" applyAlignment="1">
      <alignment horizontal="center" vertical="center"/>
    </xf>
    <xf numFmtId="176" fontId="2" fillId="0" borderId="33" xfId="0" applyNumberFormat="1" applyFont="1" applyBorder="1">
      <alignment vertical="center"/>
    </xf>
    <xf numFmtId="0" fontId="0" fillId="0" borderId="27" xfId="0" applyBorder="1">
      <alignment vertical="center"/>
    </xf>
    <xf numFmtId="176" fontId="0" fillId="0" borderId="27" xfId="0" applyNumberFormat="1" applyBorder="1">
      <alignment vertical="center"/>
    </xf>
    <xf numFmtId="0" fontId="0" fillId="12" borderId="27" xfId="0" applyFill="1" applyBorder="1">
      <alignment vertical="center"/>
    </xf>
    <xf numFmtId="0" fontId="0" fillId="12" borderId="0" xfId="0" applyFill="1">
      <alignment vertical="center"/>
    </xf>
    <xf numFmtId="176" fontId="0" fillId="0" borderId="0" xfId="0" applyNumberFormat="1">
      <alignment vertical="center"/>
    </xf>
    <xf numFmtId="0" fontId="0" fillId="0" borderId="47" xfId="0" applyBorder="1">
      <alignment vertical="center"/>
    </xf>
    <xf numFmtId="0" fontId="4" fillId="0" borderId="42" xfId="0" applyFont="1" applyBorder="1" applyAlignment="1">
      <alignment vertical="top" wrapText="1"/>
    </xf>
    <xf numFmtId="185" fontId="2" fillId="14" borderId="0" xfId="0" applyNumberFormat="1" applyFont="1" applyFill="1" applyAlignment="1">
      <alignment horizontal="center" vertical="center"/>
    </xf>
    <xf numFmtId="0" fontId="2" fillId="14" borderId="0" xfId="0" applyFont="1" applyFill="1">
      <alignment vertical="center"/>
    </xf>
    <xf numFmtId="0" fontId="13" fillId="0" borderId="0" xfId="0" applyFont="1">
      <alignment vertical="center"/>
    </xf>
    <xf numFmtId="0" fontId="3" fillId="13" borderId="0" xfId="0" applyFont="1" applyFill="1" applyAlignment="1">
      <alignment horizontal="left" vertical="center"/>
    </xf>
    <xf numFmtId="0" fontId="1" fillId="0" borderId="0" xfId="0" applyFont="1">
      <alignment vertical="center"/>
    </xf>
    <xf numFmtId="0" fontId="2" fillId="9" borderId="9" xfId="0" applyFont="1" applyFill="1" applyBorder="1">
      <alignment vertical="center"/>
    </xf>
    <xf numFmtId="0" fontId="4" fillId="13" borderId="41" xfId="0" applyFont="1" applyFill="1" applyBorder="1" applyAlignment="1">
      <alignment horizontal="center" vertical="center"/>
    </xf>
    <xf numFmtId="0" fontId="4" fillId="0" borderId="41" xfId="0" applyFont="1" applyBorder="1" applyAlignment="1">
      <alignment vertical="top" wrapText="1"/>
    </xf>
    <xf numFmtId="0" fontId="4" fillId="13" borderId="41" xfId="0" applyFont="1" applyFill="1" applyBorder="1" applyAlignment="1">
      <alignment horizontal="center" vertical="top" wrapText="1"/>
    </xf>
    <xf numFmtId="0" fontId="13" fillId="0" borderId="0" xfId="0" applyFont="1" applyAlignment="1">
      <alignment horizontal="center" vertical="center"/>
    </xf>
    <xf numFmtId="0" fontId="13" fillId="4" borderId="0" xfId="0" applyFont="1" applyFill="1" applyAlignment="1" applyProtection="1">
      <alignment horizontal="center" vertical="center"/>
      <protection locked="0" hidden="1"/>
    </xf>
    <xf numFmtId="0" fontId="13" fillId="4" borderId="41" xfId="0" applyFont="1" applyFill="1" applyBorder="1" applyAlignment="1" applyProtection="1">
      <alignment horizontal="center" vertical="center"/>
      <protection locked="0" hidden="1"/>
    </xf>
    <xf numFmtId="187" fontId="13" fillId="5" borderId="41" xfId="0" applyNumberFormat="1" applyFont="1" applyFill="1" applyBorder="1" applyAlignment="1" applyProtection="1">
      <alignment horizontal="center" vertical="center" shrinkToFit="1"/>
      <protection locked="0" hidden="1"/>
    </xf>
    <xf numFmtId="188" fontId="13" fillId="5" borderId="41" xfId="0" applyNumberFormat="1" applyFont="1" applyFill="1" applyBorder="1" applyAlignment="1" applyProtection="1">
      <alignment horizontal="center" vertical="center" shrinkToFit="1"/>
      <protection locked="0" hidden="1"/>
    </xf>
    <xf numFmtId="189" fontId="13" fillId="5" borderId="41" xfId="0" applyNumberFormat="1" applyFont="1" applyFill="1" applyBorder="1" applyAlignment="1" applyProtection="1">
      <alignment horizontal="center" vertical="center" shrinkToFit="1"/>
      <protection locked="0" hidden="1"/>
    </xf>
    <xf numFmtId="56" fontId="2" fillId="0" borderId="0" xfId="0" applyNumberFormat="1" applyFont="1">
      <alignment vertical="center"/>
    </xf>
    <xf numFmtId="0" fontId="11" fillId="5" borderId="0" xfId="0" applyFont="1" applyFill="1" applyAlignment="1" applyProtection="1">
      <alignment horizontal="center" vertical="center" shrinkToFit="1"/>
      <protection locked="0" hidden="1"/>
    </xf>
    <xf numFmtId="0" fontId="2" fillId="5" borderId="6" xfId="0" applyFont="1" applyFill="1" applyBorder="1" applyAlignment="1">
      <alignment horizontal="left" vertical="center" wrapText="1"/>
    </xf>
    <xf numFmtId="184" fontId="2" fillId="8" borderId="27" xfId="0" applyNumberFormat="1" applyFont="1" applyFill="1" applyBorder="1">
      <alignment vertical="center"/>
    </xf>
    <xf numFmtId="0" fontId="23" fillId="0" borderId="0" xfId="0" applyFont="1" applyAlignment="1">
      <alignment vertical="top"/>
    </xf>
    <xf numFmtId="177" fontId="4" fillId="0" borderId="0" xfId="0" applyNumberFormat="1" applyFont="1" applyAlignment="1">
      <alignment horizontal="right" vertical="center" shrinkToFit="1"/>
    </xf>
    <xf numFmtId="0" fontId="23" fillId="0" borderId="41" xfId="0" applyFont="1" applyBorder="1" applyAlignment="1">
      <alignment vertical="top"/>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2" xfId="0" applyFont="1" applyBorder="1">
      <alignment vertical="center"/>
    </xf>
    <xf numFmtId="0" fontId="6" fillId="0" borderId="38" xfId="0" applyFont="1" applyBorder="1">
      <alignment vertical="center"/>
    </xf>
    <xf numFmtId="0" fontId="6" fillId="0" borderId="43" xfId="0" applyFont="1" applyBorder="1">
      <alignment vertical="center"/>
    </xf>
    <xf numFmtId="0" fontId="6" fillId="0" borderId="5" xfId="0" applyFont="1" applyBorder="1">
      <alignment vertical="center"/>
    </xf>
    <xf numFmtId="0" fontId="6" fillId="0" borderId="41" xfId="0" applyFont="1" applyBorder="1">
      <alignment vertical="center"/>
    </xf>
    <xf numFmtId="0" fontId="6" fillId="0" borderId="1"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Alignment="1">
      <alignment vertical="top"/>
    </xf>
    <xf numFmtId="0" fontId="6" fillId="0" borderId="4" xfId="0" applyFont="1" applyBorder="1">
      <alignment vertical="center"/>
    </xf>
    <xf numFmtId="0" fontId="6" fillId="0" borderId="19" xfId="0" applyFont="1" applyBorder="1" applyAlignment="1">
      <alignment horizontal="distributed" vertical="center"/>
    </xf>
    <xf numFmtId="0" fontId="6" fillId="0" borderId="48" xfId="0" applyFont="1" applyBorder="1" applyAlignment="1">
      <alignment horizontal="distributed" vertical="center"/>
    </xf>
    <xf numFmtId="0" fontId="26" fillId="0" borderId="0" xfId="0" applyFont="1" applyAlignment="1">
      <alignment horizontal="center" vertical="center"/>
    </xf>
    <xf numFmtId="0" fontId="26" fillId="0" borderId="0" xfId="0" applyFont="1">
      <alignment vertical="center"/>
    </xf>
    <xf numFmtId="0" fontId="12" fillId="0" borderId="0" xfId="0" applyFo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43" xfId="0" applyFont="1" applyBorder="1">
      <alignment vertical="center"/>
    </xf>
    <xf numFmtId="49" fontId="12" fillId="0" borderId="43" xfId="0" applyNumberFormat="1" applyFont="1" applyBorder="1">
      <alignment vertical="center"/>
    </xf>
    <xf numFmtId="0" fontId="6" fillId="0" borderId="0" xfId="0" applyFont="1" applyAlignment="1">
      <alignment horizontal="right" vertical="center"/>
    </xf>
    <xf numFmtId="0" fontId="6" fillId="0" borderId="41" xfId="0" applyFont="1" applyBorder="1" applyAlignment="1">
      <alignment horizontal="left" vertical="center"/>
    </xf>
    <xf numFmtId="0" fontId="6" fillId="11" borderId="0" xfId="0" applyFont="1" applyFill="1" applyAlignment="1">
      <alignment vertical="center" shrinkToFit="1"/>
    </xf>
    <xf numFmtId="0" fontId="6" fillId="0" borderId="0" xfId="0" applyFont="1" applyAlignment="1">
      <alignment vertical="center" shrinkToFit="1"/>
    </xf>
    <xf numFmtId="0" fontId="6" fillId="11" borderId="0" xfId="0" applyFont="1" applyFill="1" applyAlignment="1">
      <alignment horizontal="right" vertical="center"/>
    </xf>
    <xf numFmtId="0" fontId="6" fillId="11" borderId="0" xfId="0" applyFont="1" applyFill="1" applyAlignment="1">
      <alignment horizontal="left" vertical="center"/>
    </xf>
    <xf numFmtId="0" fontId="6" fillId="0" borderId="41" xfId="0" applyFont="1" applyBorder="1" applyAlignment="1">
      <alignment vertical="center" shrinkToFit="1"/>
    </xf>
    <xf numFmtId="0" fontId="12" fillId="0" borderId="41" xfId="0" applyFont="1" applyBorder="1">
      <alignment vertical="center"/>
    </xf>
    <xf numFmtId="0" fontId="12" fillId="0" borderId="0" xfId="0" applyFont="1" applyAlignment="1">
      <alignment horizontal="left" vertical="center" indent="2"/>
    </xf>
    <xf numFmtId="0" fontId="12" fillId="0" borderId="0" xfId="0" applyFont="1" applyAlignment="1">
      <alignment horizontal="left" vertical="top" wrapText="1"/>
    </xf>
    <xf numFmtId="192" fontId="12" fillId="0" borderId="37" xfId="0" applyNumberFormat="1" applyFont="1" applyBorder="1" applyAlignment="1"/>
    <xf numFmtId="192" fontId="12" fillId="0" borderId="23" xfId="0" applyNumberFormat="1" applyFont="1" applyBorder="1" applyAlignment="1"/>
    <xf numFmtId="192" fontId="12" fillId="11" borderId="12" xfId="0" applyNumberFormat="1" applyFont="1" applyFill="1" applyBorder="1" applyAlignment="1"/>
    <xf numFmtId="192" fontId="12" fillId="11" borderId="37" xfId="0" applyNumberFormat="1" applyFont="1" applyFill="1" applyBorder="1" applyAlignment="1"/>
    <xf numFmtId="0" fontId="12" fillId="0" borderId="0" xfId="0" applyFont="1" applyAlignment="1">
      <alignment horizontal="right" vertical="top"/>
    </xf>
    <xf numFmtId="0" fontId="12" fillId="0" borderId="0" xfId="0" applyFont="1" applyAlignment="1">
      <alignment horizontal="center" vertical="top"/>
    </xf>
    <xf numFmtId="0" fontId="6" fillId="13" borderId="0" xfId="0" applyFont="1" applyFill="1" applyAlignment="1">
      <alignment vertical="center" shrinkToFit="1"/>
    </xf>
    <xf numFmtId="0" fontId="6" fillId="13" borderId="0" xfId="0" applyFont="1" applyFill="1" applyAlignment="1">
      <alignment horizontal="left" vertical="center" shrinkToFit="1"/>
    </xf>
    <xf numFmtId="0" fontId="6" fillId="13" borderId="0" xfId="0" applyFont="1" applyFill="1" applyAlignment="1">
      <alignment horizontal="right" vertical="center" shrinkToFit="1"/>
    </xf>
    <xf numFmtId="0" fontId="27" fillId="0" borderId="0" xfId="0" applyFont="1">
      <alignment vertical="center"/>
    </xf>
    <xf numFmtId="0" fontId="12" fillId="0" borderId="0" xfId="0" applyFont="1" applyAlignment="1">
      <alignment horizontal="left" vertical="center"/>
    </xf>
    <xf numFmtId="0" fontId="12" fillId="0" borderId="0" xfId="0" applyFont="1" applyAlignment="1">
      <alignment horizontal="left" vertical="top" indent="1"/>
    </xf>
    <xf numFmtId="0" fontId="12" fillId="15" borderId="0" xfId="0" applyFont="1" applyFill="1">
      <alignment vertical="center"/>
    </xf>
    <xf numFmtId="0" fontId="12" fillId="0" borderId="0" xfId="0" applyFont="1" applyAlignment="1">
      <alignment horizontal="right" vertical="center"/>
    </xf>
    <xf numFmtId="177" fontId="13" fillId="0" borderId="0" xfId="0" applyNumberFormat="1" applyFont="1" applyAlignment="1" applyProtection="1">
      <alignment vertical="center" shrinkToFit="1"/>
      <protection locked="0" hidden="1"/>
    </xf>
    <xf numFmtId="0" fontId="13" fillId="0" borderId="0" xfId="0" applyFont="1" applyAlignment="1" applyProtection="1">
      <alignment vertical="center" shrinkToFit="1"/>
      <protection locked="0"/>
    </xf>
    <xf numFmtId="0" fontId="13" fillId="0" borderId="0" xfId="0" applyFont="1" applyAlignment="1" applyProtection="1">
      <alignment vertical="center" shrinkToFit="1"/>
      <protection locked="0" hidden="1"/>
    </xf>
    <xf numFmtId="0" fontId="12" fillId="0" borderId="0" xfId="0" applyFont="1" applyAlignment="1">
      <alignment vertical="center" shrinkToFit="1"/>
    </xf>
    <xf numFmtId="0" fontId="6" fillId="0" borderId="3" xfId="0" applyFont="1" applyBorder="1" applyAlignment="1">
      <alignment horizontal="left" vertical="top"/>
    </xf>
    <xf numFmtId="0" fontId="6" fillId="0" borderId="0" xfId="0" applyFont="1" applyAlignment="1">
      <alignment horizontal="left" vertical="top"/>
    </xf>
    <xf numFmtId="0" fontId="6" fillId="0" borderId="3" xfId="0" applyFont="1" applyBorder="1" applyAlignment="1">
      <alignment vertical="top"/>
    </xf>
    <xf numFmtId="0" fontId="6" fillId="0" borderId="37" xfId="0" applyFont="1" applyBorder="1">
      <alignment vertical="center"/>
    </xf>
    <xf numFmtId="0" fontId="27" fillId="0" borderId="0" xfId="3" applyFont="1">
      <alignment vertical="center"/>
    </xf>
    <xf numFmtId="0" fontId="12" fillId="0" borderId="0" xfId="3" applyFont="1">
      <alignment vertical="center"/>
    </xf>
    <xf numFmtId="0" fontId="12" fillId="0" borderId="0" xfId="3" applyFont="1" applyAlignment="1">
      <alignment horizontal="left" vertical="center"/>
    </xf>
    <xf numFmtId="0" fontId="12" fillId="0" borderId="0" xfId="3" applyFont="1" applyAlignment="1">
      <alignment horizontal="left" vertical="top" indent="1"/>
    </xf>
    <xf numFmtId="0" fontId="12" fillId="0" borderId="0" xfId="3" applyFont="1" applyAlignment="1">
      <alignment horizontal="right" vertical="top"/>
    </xf>
    <xf numFmtId="0" fontId="12" fillId="0" borderId="0" xfId="3" applyFont="1" applyAlignment="1">
      <alignment horizontal="left" vertical="top"/>
    </xf>
    <xf numFmtId="0" fontId="12" fillId="0" borderId="0" xfId="3" applyFont="1" applyAlignment="1">
      <alignment horizontal="center" vertical="top"/>
    </xf>
    <xf numFmtId="0" fontId="12" fillId="0" borderId="0" xfId="3" applyFont="1" applyAlignment="1">
      <alignment vertical="top"/>
    </xf>
    <xf numFmtId="0" fontId="12" fillId="15" borderId="0" xfId="3" applyFont="1" applyFill="1">
      <alignment vertical="center"/>
    </xf>
    <xf numFmtId="0" fontId="12" fillId="0" borderId="0" xfId="3" applyFont="1" applyAlignment="1">
      <alignment horizontal="right" vertical="center"/>
    </xf>
    <xf numFmtId="0" fontId="12" fillId="0" borderId="0" xfId="3" applyFont="1" applyAlignment="1">
      <alignment vertical="center" shrinkToFit="1"/>
    </xf>
    <xf numFmtId="0" fontId="0" fillId="8" borderId="1" xfId="0" applyFill="1" applyBorder="1">
      <alignment vertical="center"/>
    </xf>
    <xf numFmtId="0" fontId="0" fillId="8" borderId="5" xfId="0" applyFill="1" applyBorder="1">
      <alignment vertical="center"/>
    </xf>
    <xf numFmtId="0" fontId="0" fillId="8" borderId="3" xfId="0" applyFill="1" applyBorder="1">
      <alignment vertical="center"/>
    </xf>
    <xf numFmtId="0" fontId="0" fillId="8" borderId="6" xfId="0" applyFill="1" applyBorder="1">
      <alignment vertical="center"/>
    </xf>
    <xf numFmtId="0" fontId="0" fillId="8" borderId="4" xfId="0" applyFill="1" applyBorder="1">
      <alignment vertical="center"/>
    </xf>
    <xf numFmtId="0" fontId="0" fillId="8" borderId="17" xfId="0" applyFill="1" applyBorder="1">
      <alignment vertical="center"/>
    </xf>
    <xf numFmtId="0" fontId="0" fillId="8" borderId="18" xfId="0" applyFill="1" applyBorder="1">
      <alignment vertical="center"/>
    </xf>
    <xf numFmtId="0" fontId="0" fillId="10" borderId="0" xfId="0" applyFill="1">
      <alignment vertical="center"/>
    </xf>
    <xf numFmtId="0" fontId="0" fillId="8" borderId="15" xfId="0" applyFill="1" applyBorder="1">
      <alignment vertical="center"/>
    </xf>
    <xf numFmtId="0" fontId="0" fillId="8" borderId="9" xfId="0" applyFill="1" applyBorder="1">
      <alignment vertical="center"/>
    </xf>
    <xf numFmtId="0" fontId="0" fillId="8" borderId="17" xfId="0" applyFill="1" applyBorder="1" applyAlignment="1">
      <alignment vertical="center" wrapText="1"/>
    </xf>
    <xf numFmtId="0" fontId="13" fillId="4" borderId="43" xfId="0" applyFont="1" applyFill="1" applyBorder="1" applyAlignment="1" applyProtection="1">
      <alignment horizontal="center" vertical="center"/>
      <protection locked="0" hidden="1"/>
    </xf>
    <xf numFmtId="0" fontId="0" fillId="8" borderId="0" xfId="0" applyFill="1">
      <alignment vertical="center"/>
    </xf>
    <xf numFmtId="0" fontId="15" fillId="0" borderId="0" xfId="4" applyFont="1" applyAlignment="1">
      <alignment horizontal="center" vertical="center"/>
    </xf>
    <xf numFmtId="0" fontId="30" fillId="0" borderId="0" xfId="4">
      <alignment vertical="center"/>
    </xf>
    <xf numFmtId="0" fontId="12" fillId="0" borderId="0" xfId="4" applyFont="1" applyAlignment="1">
      <alignment horizontal="left" vertical="center"/>
    </xf>
    <xf numFmtId="0" fontId="12" fillId="0" borderId="43" xfId="4" applyFont="1" applyBorder="1" applyAlignment="1">
      <alignment horizontal="left" vertical="center"/>
    </xf>
    <xf numFmtId="0" fontId="12" fillId="0" borderId="43" xfId="4" applyFont="1" applyBorder="1">
      <alignment vertical="center"/>
    </xf>
    <xf numFmtId="0" fontId="12" fillId="0" borderId="5" xfId="4" applyFont="1" applyBorder="1">
      <alignment vertical="center"/>
    </xf>
    <xf numFmtId="0" fontId="12" fillId="0" borderId="3" xfId="4" applyFont="1" applyBorder="1">
      <alignment vertical="center"/>
    </xf>
    <xf numFmtId="0" fontId="12" fillId="0" borderId="0" xfId="4" applyFont="1">
      <alignment vertical="center"/>
    </xf>
    <xf numFmtId="0" fontId="12" fillId="0" borderId="6" xfId="4" applyFont="1" applyBorder="1">
      <alignment vertical="center"/>
    </xf>
    <xf numFmtId="0" fontId="12" fillId="0" borderId="0" xfId="4" applyFont="1" applyAlignment="1" applyProtection="1">
      <alignment vertical="center" shrinkToFit="1"/>
      <protection locked="0"/>
    </xf>
    <xf numFmtId="0" fontId="12" fillId="0" borderId="37" xfId="4" applyFont="1" applyBorder="1" applyAlignment="1">
      <alignment horizontal="left" vertical="center"/>
    </xf>
    <xf numFmtId="0" fontId="12" fillId="0" borderId="41" xfId="4" applyFont="1" applyBorder="1" applyAlignment="1">
      <alignment horizontal="left" vertical="center"/>
    </xf>
    <xf numFmtId="0" fontId="28" fillId="0" borderId="0" xfId="4" applyFont="1">
      <alignment vertical="center"/>
    </xf>
    <xf numFmtId="0" fontId="12" fillId="0" borderId="23" xfId="4" applyFont="1" applyBorder="1" applyAlignment="1">
      <alignment horizontal="left" vertical="center"/>
    </xf>
    <xf numFmtId="0" fontId="12" fillId="0" borderId="41" xfId="4" applyFont="1" applyBorder="1" applyAlignment="1" applyProtection="1">
      <alignment horizontal="center" vertical="center" wrapText="1"/>
      <protection locked="0"/>
    </xf>
    <xf numFmtId="0" fontId="12" fillId="0" borderId="0" xfId="4" applyFont="1" applyAlignment="1" applyProtection="1">
      <alignment horizontal="center" vertical="center" wrapText="1"/>
      <protection locked="0"/>
    </xf>
    <xf numFmtId="0" fontId="12" fillId="0" borderId="37" xfId="4" applyFont="1" applyBorder="1" applyAlignment="1">
      <alignment horizontal="center" vertical="center"/>
    </xf>
    <xf numFmtId="0" fontId="12" fillId="0" borderId="23" xfId="4" applyFont="1" applyBorder="1" applyAlignment="1">
      <alignment horizontal="center" vertical="center"/>
    </xf>
    <xf numFmtId="0" fontId="12" fillId="0" borderId="37" xfId="4" applyFont="1" applyBorder="1">
      <alignment vertical="center"/>
    </xf>
    <xf numFmtId="0" fontId="12" fillId="0" borderId="23" xfId="4" applyFont="1" applyBorder="1">
      <alignment vertical="center"/>
    </xf>
    <xf numFmtId="0" fontId="12" fillId="0" borderId="4" xfId="4" applyFont="1" applyBorder="1">
      <alignment vertical="center"/>
    </xf>
    <xf numFmtId="0" fontId="12" fillId="0" borderId="41" xfId="4" applyFont="1" applyBorder="1">
      <alignment vertical="center"/>
    </xf>
    <xf numFmtId="0" fontId="12" fillId="0" borderId="13" xfId="4" applyFont="1" applyBorder="1">
      <alignment vertical="center"/>
    </xf>
    <xf numFmtId="0" fontId="12" fillId="0" borderId="0" xfId="4" applyFont="1" applyAlignment="1">
      <alignment horizontal="center" vertical="center"/>
    </xf>
    <xf numFmtId="0" fontId="12" fillId="0" borderId="41" xfId="4" applyFont="1" applyBorder="1" applyAlignment="1">
      <alignment horizontal="center" vertical="center"/>
    </xf>
    <xf numFmtId="0" fontId="12" fillId="0" borderId="1" xfId="4" applyFont="1" applyBorder="1" applyAlignment="1">
      <alignment horizontal="center" vertical="center"/>
    </xf>
    <xf numFmtId="0" fontId="12" fillId="0" borderId="43" xfId="4" applyFont="1" applyBorder="1" applyAlignment="1">
      <alignment horizontal="center" vertical="center"/>
    </xf>
    <xf numFmtId="0" fontId="12" fillId="0" borderId="5" xfId="4" applyFont="1" applyBorder="1" applyAlignment="1">
      <alignment horizontal="center" vertical="center"/>
    </xf>
    <xf numFmtId="0" fontId="12" fillId="0" borderId="12" xfId="4" applyFont="1" applyBorder="1">
      <alignment vertical="center"/>
    </xf>
    <xf numFmtId="0" fontId="12" fillId="0" borderId="12" xfId="4" applyFont="1" applyBorder="1" applyAlignment="1">
      <alignment vertical="center" shrinkToFit="1"/>
    </xf>
    <xf numFmtId="0" fontId="13" fillId="4" borderId="1" xfId="4" applyFont="1" applyFill="1" applyBorder="1" applyAlignment="1" applyProtection="1">
      <alignment horizontal="center" vertical="center"/>
      <protection locked="0" hidden="1"/>
    </xf>
    <xf numFmtId="0" fontId="30" fillId="0" borderId="43" xfId="4" applyBorder="1">
      <alignment vertical="center"/>
    </xf>
    <xf numFmtId="0" fontId="13" fillId="4" borderId="43" xfId="4" applyFont="1" applyFill="1" applyBorder="1" applyAlignment="1" applyProtection="1">
      <alignment horizontal="center" vertical="center"/>
      <protection locked="0" hidden="1"/>
    </xf>
    <xf numFmtId="0" fontId="12" fillId="0" borderId="4" xfId="4" applyFont="1" applyBorder="1" applyAlignment="1">
      <alignment horizontal="left" vertical="center"/>
    </xf>
    <xf numFmtId="0" fontId="13" fillId="4" borderId="4" xfId="4" applyFont="1" applyFill="1" applyBorder="1" applyAlignment="1" applyProtection="1">
      <alignment horizontal="center" vertical="center"/>
      <protection locked="0" hidden="1"/>
    </xf>
    <xf numFmtId="0" fontId="30" fillId="0" borderId="41" xfId="4" applyBorder="1">
      <alignment vertical="center"/>
    </xf>
    <xf numFmtId="0" fontId="13" fillId="4" borderId="41" xfId="4" applyFont="1" applyFill="1" applyBorder="1" applyAlignment="1" applyProtection="1">
      <alignment horizontal="center" vertical="center"/>
      <protection locked="0" hidden="1"/>
    </xf>
    <xf numFmtId="0" fontId="12" fillId="0" borderId="41" xfId="4" applyFont="1" applyBorder="1" applyAlignment="1">
      <alignment vertical="center" shrinkToFit="1"/>
    </xf>
    <xf numFmtId="0" fontId="12" fillId="0" borderId="1" xfId="4" applyFont="1" applyBorder="1">
      <alignment vertical="center"/>
    </xf>
    <xf numFmtId="0" fontId="12" fillId="0" borderId="41" xfId="4" applyFont="1" applyBorder="1" applyAlignment="1">
      <alignment horizontal="left" vertical="center" wrapText="1"/>
    </xf>
    <xf numFmtId="0" fontId="30" fillId="13" borderId="1" xfId="4" applyFill="1" applyBorder="1">
      <alignment vertical="center"/>
    </xf>
    <xf numFmtId="0" fontId="12" fillId="13" borderId="43" xfId="4" applyFont="1" applyFill="1" applyBorder="1" applyAlignment="1">
      <alignment horizontal="left" vertical="center"/>
    </xf>
    <xf numFmtId="0" fontId="30" fillId="13" borderId="3" xfId="4" applyFill="1" applyBorder="1">
      <alignment vertical="center"/>
    </xf>
    <xf numFmtId="0" fontId="30" fillId="13" borderId="0" xfId="4" applyFill="1">
      <alignment vertical="center"/>
    </xf>
    <xf numFmtId="0" fontId="30" fillId="13" borderId="4" xfId="4" applyFill="1" applyBorder="1">
      <alignment vertical="center"/>
    </xf>
    <xf numFmtId="0" fontId="30" fillId="0" borderId="6" xfId="4" applyBorder="1">
      <alignment vertical="center"/>
    </xf>
    <xf numFmtId="0" fontId="12" fillId="13" borderId="12" xfId="4" applyFont="1" applyFill="1" applyBorder="1">
      <alignment vertical="center"/>
    </xf>
    <xf numFmtId="0" fontId="12" fillId="13" borderId="37" xfId="4" applyFont="1" applyFill="1" applyBorder="1">
      <alignment vertical="center"/>
    </xf>
    <xf numFmtId="0" fontId="12" fillId="0" borderId="6" xfId="4" applyFont="1" applyBorder="1" applyAlignment="1">
      <alignment horizontal="left" vertical="center"/>
    </xf>
    <xf numFmtId="0" fontId="12" fillId="0" borderId="12" xfId="4" applyFont="1" applyBorder="1" applyAlignment="1">
      <alignment horizontal="left" vertical="center" wrapText="1"/>
    </xf>
    <xf numFmtId="0" fontId="12" fillId="0" borderId="37" xfId="4" applyFont="1" applyBorder="1" applyAlignment="1">
      <alignment horizontal="left" vertical="center" wrapText="1"/>
    </xf>
    <xf numFmtId="0" fontId="12" fillId="0" borderId="0" xfId="4" applyFont="1" applyAlignment="1">
      <alignment horizontal="left" vertical="center" wrapText="1"/>
    </xf>
    <xf numFmtId="0" fontId="12" fillId="0" borderId="6" xfId="4" applyFont="1" applyBorder="1" applyAlignment="1">
      <alignment horizontal="left" vertical="center" wrapText="1"/>
    </xf>
    <xf numFmtId="0" fontId="13" fillId="4" borderId="12" xfId="0" applyFont="1" applyFill="1" applyBorder="1" applyAlignment="1" applyProtection="1">
      <alignment horizontal="center" vertical="center"/>
      <protection locked="0" hidden="1"/>
    </xf>
    <xf numFmtId="0" fontId="12" fillId="0" borderId="0" xfId="4" applyFont="1" applyAlignment="1">
      <alignment horizontal="right" vertical="center" wrapText="1"/>
    </xf>
    <xf numFmtId="0" fontId="12" fillId="0" borderId="0" xfId="4" applyFont="1" applyAlignment="1">
      <alignment horizontal="left" vertical="center" shrinkToFit="1"/>
    </xf>
    <xf numFmtId="0" fontId="12" fillId="0" borderId="6" xfId="4" applyFont="1" applyBorder="1" applyAlignment="1">
      <alignment horizontal="left" vertical="center" shrinkToFit="1"/>
    </xf>
    <xf numFmtId="0" fontId="12" fillId="0" borderId="49" xfId="4" applyFont="1" applyBorder="1">
      <alignment vertical="center"/>
    </xf>
    <xf numFmtId="0" fontId="12" fillId="0" borderId="50" xfId="4" applyFont="1" applyBorder="1">
      <alignment vertical="center"/>
    </xf>
    <xf numFmtId="0" fontId="12" fillId="0" borderId="51" xfId="4" applyFont="1" applyBorder="1">
      <alignment vertical="center"/>
    </xf>
    <xf numFmtId="0" fontId="12" fillId="0" borderId="52" xfId="4" applyFont="1" applyBorder="1">
      <alignment vertical="center"/>
    </xf>
    <xf numFmtId="180" fontId="12" fillId="0" borderId="0" xfId="4" applyNumberFormat="1" applyFont="1" applyAlignment="1" applyProtection="1">
      <alignment horizontal="center" vertical="center" shrinkToFit="1"/>
      <protection locked="0"/>
    </xf>
    <xf numFmtId="0" fontId="12" fillId="0" borderId="53" xfId="4" applyFont="1" applyBorder="1">
      <alignment vertical="center"/>
    </xf>
    <xf numFmtId="0" fontId="12" fillId="0" borderId="54" xfId="4" applyFont="1" applyBorder="1">
      <alignment vertical="center"/>
    </xf>
    <xf numFmtId="0" fontId="12" fillId="0" borderId="2" xfId="4" applyFont="1" applyBorder="1" applyAlignment="1">
      <alignment horizontal="left" vertical="center" wrapText="1"/>
    </xf>
    <xf numFmtId="182" fontId="12" fillId="0" borderId="0" xfId="4" applyNumberFormat="1" applyFont="1" applyAlignment="1" applyProtection="1">
      <alignment horizontal="center" vertical="center" shrinkToFit="1"/>
      <protection locked="0"/>
    </xf>
    <xf numFmtId="0" fontId="12" fillId="0" borderId="55" xfId="4" applyFont="1" applyBorder="1">
      <alignment vertical="center"/>
    </xf>
    <xf numFmtId="0" fontId="12" fillId="0" borderId="56" xfId="4" applyFont="1" applyBorder="1">
      <alignment vertical="center"/>
    </xf>
    <xf numFmtId="0" fontId="12" fillId="0" borderId="38" xfId="4" applyFont="1" applyBorder="1">
      <alignment vertical="center"/>
    </xf>
    <xf numFmtId="0" fontId="12" fillId="0" borderId="57" xfId="4" applyFont="1" applyBorder="1">
      <alignment vertical="center"/>
    </xf>
    <xf numFmtId="0" fontId="13" fillId="4" borderId="4" xfId="0" applyFont="1" applyFill="1" applyBorder="1" applyAlignment="1" applyProtection="1">
      <alignment horizontal="center" vertical="center"/>
      <protection locked="0" hidden="1"/>
    </xf>
    <xf numFmtId="180" fontId="12" fillId="0" borderId="41" xfId="4" applyNumberFormat="1" applyFont="1" applyBorder="1" applyAlignment="1" applyProtection="1">
      <alignment horizontal="center" vertical="center" shrinkToFit="1"/>
      <protection locked="0"/>
    </xf>
    <xf numFmtId="180" fontId="12" fillId="0" borderId="41" xfId="4" applyNumberFormat="1" applyFont="1" applyBorder="1" applyAlignment="1" applyProtection="1">
      <alignment horizontal="center" vertical="center"/>
      <protection locked="0"/>
    </xf>
    <xf numFmtId="180" fontId="12" fillId="0" borderId="43" xfId="4" applyNumberFormat="1" applyFont="1" applyBorder="1" applyAlignment="1" applyProtection="1">
      <alignment vertical="center" shrinkToFit="1"/>
      <protection locked="0"/>
    </xf>
    <xf numFmtId="182" fontId="12" fillId="0" borderId="12" xfId="4" applyNumberFormat="1" applyFont="1" applyBorder="1" applyAlignment="1" applyProtection="1">
      <alignment vertical="center" shrinkToFit="1"/>
      <protection locked="0"/>
    </xf>
    <xf numFmtId="182" fontId="12" fillId="0" borderId="0" xfId="4" applyNumberFormat="1" applyFont="1" applyAlignment="1" applyProtection="1">
      <alignment vertical="center" shrinkToFit="1"/>
      <protection locked="0"/>
    </xf>
    <xf numFmtId="193" fontId="12" fillId="0" borderId="0" xfId="4" applyNumberFormat="1" applyFont="1" applyProtection="1">
      <alignment vertical="center"/>
      <protection locked="0"/>
    </xf>
    <xf numFmtId="0" fontId="13" fillId="4" borderId="1" xfId="0" applyFont="1" applyFill="1" applyBorder="1" applyAlignment="1" applyProtection="1">
      <alignment horizontal="center" vertical="center"/>
      <protection locked="0" hidden="1"/>
    </xf>
    <xf numFmtId="0" fontId="6" fillId="0" borderId="43" xfId="4" applyFont="1" applyBorder="1">
      <alignment vertical="center"/>
    </xf>
    <xf numFmtId="0" fontId="30" fillId="0" borderId="37" xfId="4" applyBorder="1">
      <alignment vertical="center"/>
    </xf>
    <xf numFmtId="0" fontId="13" fillId="4" borderId="50" xfId="0" applyFont="1" applyFill="1" applyBorder="1" applyAlignment="1" applyProtection="1">
      <alignment horizontal="center" vertical="center"/>
      <protection locked="0" hidden="1"/>
    </xf>
    <xf numFmtId="0" fontId="12" fillId="0" borderId="58" xfId="4" applyFont="1" applyBorder="1">
      <alignment vertical="center"/>
    </xf>
    <xf numFmtId="0" fontId="13" fillId="4" borderId="37" xfId="0" applyFont="1" applyFill="1" applyBorder="1" applyAlignment="1" applyProtection="1">
      <alignment horizontal="center" vertical="center"/>
      <protection locked="0" hidden="1"/>
    </xf>
    <xf numFmtId="0" fontId="30" fillId="0" borderId="23" xfId="4" applyBorder="1">
      <alignment vertical="center"/>
    </xf>
    <xf numFmtId="180" fontId="12" fillId="0" borderId="0" xfId="4" applyNumberFormat="1" applyFont="1" applyAlignment="1" applyProtection="1">
      <alignment vertical="center" shrinkToFit="1"/>
      <protection locked="0"/>
    </xf>
    <xf numFmtId="0" fontId="12" fillId="0" borderId="3" xfId="4" applyFont="1" applyBorder="1" applyAlignment="1">
      <alignment vertical="center" shrinkToFit="1"/>
    </xf>
    <xf numFmtId="177" fontId="12" fillId="0" borderId="41" xfId="4" applyNumberFormat="1" applyFont="1" applyBorder="1" applyAlignment="1" applyProtection="1">
      <alignment horizontal="center" vertical="center" shrinkToFit="1"/>
      <protection locked="0"/>
    </xf>
    <xf numFmtId="49" fontId="12" fillId="11" borderId="41" xfId="4" applyNumberFormat="1" applyFont="1" applyFill="1" applyBorder="1" applyAlignment="1" applyProtection="1">
      <alignment horizontal="center" vertical="center" wrapText="1"/>
      <protection locked="0"/>
    </xf>
    <xf numFmtId="49" fontId="12" fillId="11" borderId="43" xfId="4" applyNumberFormat="1" applyFont="1" applyFill="1" applyBorder="1" applyAlignment="1" applyProtection="1">
      <alignment horizontal="center" vertical="center" shrinkToFit="1"/>
      <protection locked="0"/>
    </xf>
    <xf numFmtId="195" fontId="6" fillId="0" borderId="0" xfId="0" applyNumberFormat="1" applyFont="1" applyAlignment="1">
      <alignment horizontal="center" vertical="center"/>
    </xf>
    <xf numFmtId="0" fontId="6" fillId="0" borderId="23"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18" borderId="0" xfId="0" applyFont="1" applyFill="1" applyProtection="1">
      <alignment vertical="center"/>
      <protection locked="0"/>
    </xf>
    <xf numFmtId="58" fontId="6" fillId="0" borderId="0" xfId="0" applyNumberFormat="1" applyFont="1" applyAlignment="1">
      <alignment horizontal="center" vertical="center"/>
    </xf>
    <xf numFmtId="0" fontId="6" fillId="18" borderId="0" xfId="0" applyFont="1" applyFill="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9" xfId="0" applyFont="1" applyFill="1" applyBorder="1" applyAlignment="1">
      <alignment horizontal="center" vertical="center" wrapText="1"/>
    </xf>
    <xf numFmtId="0" fontId="13" fillId="0" borderId="41" xfId="0" applyFont="1" applyBorder="1" applyAlignment="1">
      <alignment horizontal="center" vertical="center"/>
    </xf>
    <xf numFmtId="0" fontId="13" fillId="3" borderId="0" xfId="0" applyFont="1" applyFill="1" applyAlignment="1" applyProtection="1">
      <alignment horizontal="center" vertical="center" shrinkToFit="1"/>
      <protection locked="0"/>
    </xf>
    <xf numFmtId="0" fontId="13"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shrinkToFit="1"/>
      <protection locked="0" hidden="1"/>
    </xf>
    <xf numFmtId="0" fontId="13" fillId="3" borderId="0" xfId="0" applyFont="1" applyFill="1" applyProtection="1">
      <alignment vertical="center"/>
      <protection locked="0"/>
    </xf>
    <xf numFmtId="0" fontId="0" fillId="0" borderId="0" xfId="0">
      <alignment vertical="center"/>
    </xf>
    <xf numFmtId="177" fontId="13" fillId="5" borderId="0" xfId="0" applyNumberFormat="1" applyFont="1" applyFill="1" applyAlignment="1" applyProtection="1">
      <alignment horizontal="center" vertical="center" shrinkToFit="1"/>
      <protection locked="0" hidden="1"/>
    </xf>
    <xf numFmtId="0" fontId="13" fillId="3" borderId="0" xfId="0" applyFont="1" applyFill="1" applyAlignment="1" applyProtection="1">
      <alignment horizontal="right" vertical="center"/>
      <protection locked="0"/>
    </xf>
    <xf numFmtId="0" fontId="0" fillId="3" borderId="0" xfId="0" applyFill="1" applyProtection="1">
      <alignment vertical="center"/>
      <protection locked="0"/>
    </xf>
    <xf numFmtId="0" fontId="13" fillId="3" borderId="43" xfId="0" applyFont="1"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13" fillId="4" borderId="0" xfId="0" applyFont="1" applyFill="1" applyAlignment="1" applyProtection="1">
      <alignment horizontal="center" vertical="center"/>
      <protection locked="0" hidden="1"/>
    </xf>
    <xf numFmtId="0" fontId="0" fillId="4" borderId="0" xfId="0" applyFill="1" applyAlignment="1" applyProtection="1">
      <alignment horizontal="center" vertical="center"/>
      <protection locked="0" hidden="1"/>
    </xf>
    <xf numFmtId="0" fontId="13"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13" fillId="4" borderId="41" xfId="0" applyFont="1" applyFill="1" applyBorder="1" applyAlignment="1" applyProtection="1">
      <alignment horizontal="center" vertical="center"/>
      <protection locked="0" hidden="1"/>
    </xf>
    <xf numFmtId="0" fontId="0" fillId="4" borderId="41" xfId="0" applyFill="1" applyBorder="1" applyAlignment="1" applyProtection="1">
      <alignment horizontal="center" vertical="center"/>
      <protection locked="0" hidden="1"/>
    </xf>
    <xf numFmtId="0" fontId="13" fillId="3" borderId="41" xfId="0" applyFont="1"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13" fillId="0" borderId="0" xfId="0" applyFont="1" applyAlignment="1">
      <alignment vertical="center" shrinkToFit="1"/>
    </xf>
    <xf numFmtId="0" fontId="0" fillId="0" borderId="0" xfId="0" applyAlignment="1">
      <alignment vertical="center" shrinkToFit="1"/>
    </xf>
    <xf numFmtId="0" fontId="13" fillId="3" borderId="0" xfId="0" applyFont="1" applyFill="1" applyAlignment="1">
      <alignment vertical="center" shrinkToFit="1"/>
    </xf>
    <xf numFmtId="0" fontId="0" fillId="3" borderId="0" xfId="0" applyFill="1" applyAlignment="1">
      <alignment vertical="center" shrinkToFit="1"/>
    </xf>
    <xf numFmtId="0" fontId="13" fillId="4" borderId="43" xfId="0" applyFont="1" applyFill="1" applyBorder="1" applyAlignment="1" applyProtection="1">
      <alignment horizontal="center" vertical="center"/>
      <protection locked="0" hidden="1"/>
    </xf>
    <xf numFmtId="0" fontId="0" fillId="4" borderId="43" xfId="0" applyFill="1" applyBorder="1" applyAlignment="1" applyProtection="1">
      <alignment horizontal="center" vertical="center"/>
      <protection locked="0" hidden="1"/>
    </xf>
    <xf numFmtId="0" fontId="13" fillId="5" borderId="41" xfId="0" applyFont="1" applyFill="1" applyBorder="1" applyAlignment="1" applyProtection="1">
      <alignment horizontal="center" vertical="center" shrinkToFit="1"/>
      <protection locked="0" hidden="1"/>
    </xf>
    <xf numFmtId="0" fontId="0" fillId="5" borderId="41" xfId="0" applyFill="1" applyBorder="1" applyAlignment="1" applyProtection="1">
      <alignment horizontal="center" vertical="center" shrinkToFit="1"/>
      <protection locked="0" hidden="1"/>
    </xf>
    <xf numFmtId="0" fontId="13" fillId="5" borderId="0" xfId="0" applyFont="1" applyFill="1" applyAlignment="1" applyProtection="1">
      <alignment horizontal="center" vertical="center" shrinkToFit="1"/>
      <protection locked="0" hidden="1"/>
    </xf>
    <xf numFmtId="177" fontId="13" fillId="5" borderId="37" xfId="0" applyNumberFormat="1" applyFont="1" applyFill="1" applyBorder="1" applyAlignment="1" applyProtection="1">
      <alignment horizontal="right" vertical="center" shrinkToFit="1"/>
      <protection locked="0" hidden="1"/>
    </xf>
    <xf numFmtId="177" fontId="0" fillId="5" borderId="37" xfId="0" applyNumberFormat="1" applyFill="1" applyBorder="1" applyAlignment="1" applyProtection="1">
      <alignment vertical="center" shrinkToFit="1"/>
      <protection locked="0" hidden="1"/>
    </xf>
    <xf numFmtId="190" fontId="13" fillId="0" borderId="0" xfId="0" applyNumberFormat="1" applyFont="1" applyAlignment="1">
      <alignment horizontal="right" vertical="center"/>
    </xf>
    <xf numFmtId="190" fontId="13" fillId="0" borderId="41" xfId="0" applyNumberFormat="1" applyFont="1" applyBorder="1" applyAlignment="1">
      <alignment horizontal="right" vertical="center"/>
    </xf>
    <xf numFmtId="191" fontId="13" fillId="0" borderId="0" xfId="0" applyNumberFormat="1" applyFont="1" applyAlignment="1">
      <alignment horizontal="right" vertical="center"/>
    </xf>
    <xf numFmtId="0" fontId="13" fillId="13" borderId="41" xfId="0" applyFont="1" applyFill="1" applyBorder="1" applyProtection="1">
      <alignment vertical="center"/>
      <protection locked="0"/>
    </xf>
    <xf numFmtId="0" fontId="0" fillId="13" borderId="41" xfId="0" applyFill="1" applyBorder="1">
      <alignment vertical="center"/>
    </xf>
    <xf numFmtId="0" fontId="13" fillId="5" borderId="0" xfId="0" applyFont="1" applyFill="1" applyAlignment="1" applyProtection="1">
      <alignment vertical="center" wrapText="1"/>
      <protection locked="0" hidden="1"/>
    </xf>
    <xf numFmtId="0" fontId="12" fillId="5" borderId="0" xfId="0" applyFont="1" applyFill="1" applyAlignment="1" applyProtection="1">
      <alignment vertical="center" wrapText="1"/>
      <protection locked="0" hidden="1"/>
    </xf>
    <xf numFmtId="0" fontId="13" fillId="5" borderId="0" xfId="0" applyFont="1" applyFill="1" applyAlignment="1" applyProtection="1">
      <alignment horizontal="left" vertical="center" shrinkToFit="1"/>
      <protection locked="0"/>
    </xf>
    <xf numFmtId="0" fontId="13" fillId="5" borderId="0" xfId="0" applyFont="1" applyFill="1" applyAlignment="1" applyProtection="1">
      <alignment vertical="center" shrinkToFit="1"/>
      <protection locked="0" hidden="1"/>
    </xf>
    <xf numFmtId="0" fontId="0" fillId="0" borderId="0" xfId="0" applyAlignment="1" applyProtection="1">
      <alignment vertical="center" shrinkToFit="1"/>
      <protection locked="0" hidden="1"/>
    </xf>
    <xf numFmtId="0" fontId="0" fillId="5" borderId="0" xfId="0" applyFill="1" applyAlignment="1" applyProtection="1">
      <alignment vertical="center" shrinkToFit="1"/>
      <protection locked="0" hidden="1"/>
    </xf>
    <xf numFmtId="0" fontId="13" fillId="5" borderId="41" xfId="0" applyFont="1" applyFill="1" applyBorder="1" applyAlignment="1" applyProtection="1">
      <alignment vertical="center" shrinkToFit="1"/>
      <protection locked="0" hidden="1"/>
    </xf>
    <xf numFmtId="0" fontId="0" fillId="0" borderId="41" xfId="0" applyBorder="1" applyAlignment="1" applyProtection="1">
      <alignment vertical="center" shrinkToFit="1"/>
      <protection locked="0" hidden="1"/>
    </xf>
    <xf numFmtId="0" fontId="13" fillId="13" borderId="0" xfId="0" applyFont="1" applyFill="1" applyAlignment="1">
      <alignment vertical="center" shrinkToFit="1"/>
    </xf>
    <xf numFmtId="0" fontId="12" fillId="5" borderId="0" xfId="0" applyFont="1" applyFill="1" applyAlignment="1" applyProtection="1">
      <alignment vertical="center" shrinkToFit="1"/>
      <protection locked="0" hidden="1"/>
    </xf>
    <xf numFmtId="0" fontId="13" fillId="0" borderId="0" xfId="0" applyFont="1">
      <alignment vertical="center"/>
    </xf>
    <xf numFmtId="0" fontId="13" fillId="5" borderId="0" xfId="0" applyFont="1" applyFill="1" applyAlignment="1" applyProtection="1">
      <alignment vertical="center" wrapText="1" shrinkToFit="1"/>
      <protection locked="0" hidden="1"/>
    </xf>
    <xf numFmtId="0" fontId="13" fillId="5" borderId="0" xfId="0" applyFont="1" applyFill="1" applyAlignment="1" applyProtection="1">
      <alignment horizontal="left" vertical="center" wrapText="1" shrinkToFit="1"/>
      <protection locked="0" hidden="1"/>
    </xf>
    <xf numFmtId="0" fontId="13" fillId="0" borderId="0" xfId="0" applyFont="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13" fillId="5" borderId="41" xfId="0" applyFont="1" applyFill="1" applyBorder="1" applyAlignment="1" applyProtection="1">
      <alignment horizontal="right" vertical="center" shrinkToFit="1"/>
      <protection locked="0"/>
    </xf>
    <xf numFmtId="0" fontId="0" fillId="5" borderId="41" xfId="0" applyFill="1" applyBorder="1" applyAlignment="1" applyProtection="1">
      <alignment horizontal="right" vertical="center" shrinkToFit="1"/>
      <protection locked="0"/>
    </xf>
    <xf numFmtId="0" fontId="12" fillId="0" borderId="37" xfId="4" applyFont="1" applyBorder="1" applyAlignment="1">
      <alignment horizontal="left" vertical="center"/>
    </xf>
    <xf numFmtId="0" fontId="12" fillId="0" borderId="12" xfId="4" applyFont="1" applyBorder="1" applyAlignment="1">
      <alignment horizontal="left" vertical="center" shrinkToFit="1"/>
    </xf>
    <xf numFmtId="0" fontId="12" fillId="0" borderId="37" xfId="4" applyFont="1" applyBorder="1" applyAlignment="1">
      <alignment horizontal="left" vertical="center" shrinkToFit="1"/>
    </xf>
    <xf numFmtId="0" fontId="12" fillId="0" borderId="23" xfId="4" applyFont="1" applyBorder="1" applyAlignment="1">
      <alignment horizontal="left" vertical="center" shrinkToFit="1"/>
    </xf>
    <xf numFmtId="194" fontId="12" fillId="11" borderId="12" xfId="4" applyNumberFormat="1" applyFont="1" applyFill="1" applyBorder="1" applyAlignment="1" applyProtection="1">
      <alignment horizontal="center" vertical="center" shrinkToFit="1"/>
      <protection locked="0"/>
    </xf>
    <xf numFmtId="194" fontId="12" fillId="11" borderId="37" xfId="4" applyNumberFormat="1" applyFont="1" applyFill="1" applyBorder="1" applyAlignment="1" applyProtection="1">
      <alignment horizontal="center" vertical="center" shrinkToFit="1"/>
      <protection locked="0"/>
    </xf>
    <xf numFmtId="0" fontId="12" fillId="0" borderId="37" xfId="4" applyFont="1" applyBorder="1" applyAlignment="1">
      <alignment horizontal="center" vertical="center"/>
    </xf>
    <xf numFmtId="0" fontId="12" fillId="0" borderId="12" xfId="4" applyFont="1" applyBorder="1" applyAlignment="1">
      <alignment horizontal="left" vertical="center"/>
    </xf>
    <xf numFmtId="0" fontId="12" fillId="0" borderId="23" xfId="4" applyFont="1" applyBorder="1" applyAlignment="1">
      <alignment horizontal="left" vertical="center"/>
    </xf>
    <xf numFmtId="0" fontId="12" fillId="0" borderId="1" xfId="4" applyFont="1" applyBorder="1" applyAlignment="1">
      <alignment horizontal="left" vertical="center" wrapText="1"/>
    </xf>
    <xf numFmtId="0" fontId="12" fillId="0" borderId="43" xfId="4" applyFont="1" applyBorder="1" applyAlignment="1">
      <alignment horizontal="left" vertical="center" wrapText="1"/>
    </xf>
    <xf numFmtId="0" fontId="12" fillId="15" borderId="12" xfId="4" applyFont="1" applyFill="1" applyBorder="1" applyAlignment="1">
      <alignment horizontal="center" vertical="center"/>
    </xf>
    <xf numFmtId="0" fontId="12" fillId="15" borderId="37" xfId="4" applyFont="1" applyFill="1" applyBorder="1" applyAlignment="1">
      <alignment horizontal="center" vertical="center"/>
    </xf>
    <xf numFmtId="194" fontId="12" fillId="11" borderId="37" xfId="4" applyNumberFormat="1" applyFont="1" applyFill="1" applyBorder="1" applyAlignment="1" applyProtection="1">
      <alignment horizontal="center" vertical="center"/>
      <protection locked="0"/>
    </xf>
    <xf numFmtId="0" fontId="12" fillId="0" borderId="12" xfId="4" applyFont="1" applyBorder="1" applyAlignment="1">
      <alignment horizontal="left" vertical="center" wrapText="1"/>
    </xf>
    <xf numFmtId="0" fontId="12" fillId="0" borderId="37" xfId="4" applyFont="1" applyBorder="1" applyAlignment="1">
      <alignment horizontal="left" vertical="center" wrapText="1"/>
    </xf>
    <xf numFmtId="0" fontId="12" fillId="0" borderId="23" xfId="4" applyFont="1" applyBorder="1" applyAlignment="1">
      <alignment horizontal="left" vertical="center" wrapText="1"/>
    </xf>
    <xf numFmtId="194" fontId="12" fillId="11" borderId="12" xfId="4" applyNumberFormat="1" applyFont="1" applyFill="1" applyBorder="1" applyAlignment="1">
      <alignment horizontal="center" vertical="center"/>
    </xf>
    <xf numFmtId="194" fontId="12" fillId="11" borderId="37" xfId="4" applyNumberFormat="1" applyFont="1" applyFill="1" applyBorder="1" applyAlignment="1">
      <alignment horizontal="center" vertical="center"/>
    </xf>
    <xf numFmtId="194" fontId="12" fillId="11" borderId="50" xfId="4" applyNumberFormat="1" applyFont="1" applyFill="1" applyBorder="1" applyAlignment="1">
      <alignment horizontal="center" vertical="center"/>
    </xf>
    <xf numFmtId="0" fontId="12" fillId="0" borderId="43" xfId="4" applyFont="1" applyBorder="1" applyAlignment="1">
      <alignment horizontal="left" vertical="center"/>
    </xf>
    <xf numFmtId="0" fontId="12" fillId="0" borderId="0" xfId="4" applyFont="1" applyAlignment="1">
      <alignment horizontal="center" vertical="center"/>
    </xf>
    <xf numFmtId="0" fontId="12" fillId="0" borderId="49" xfId="4" applyFont="1" applyBorder="1" applyAlignment="1">
      <alignment horizontal="left" vertical="center"/>
    </xf>
    <xf numFmtId="193" fontId="12" fillId="11" borderId="12" xfId="4" applyNumberFormat="1" applyFont="1" applyFill="1" applyBorder="1" applyAlignment="1" applyProtection="1">
      <alignment horizontal="center" vertical="center"/>
      <protection locked="0"/>
    </xf>
    <xf numFmtId="193" fontId="12" fillId="11" borderId="37" xfId="4" applyNumberFormat="1" applyFont="1" applyFill="1" applyBorder="1" applyAlignment="1" applyProtection="1">
      <alignment horizontal="center" vertical="center"/>
      <protection locked="0"/>
    </xf>
    <xf numFmtId="193" fontId="12" fillId="11" borderId="23" xfId="4" applyNumberFormat="1" applyFont="1" applyFill="1" applyBorder="1" applyAlignment="1" applyProtection="1">
      <alignment horizontal="center" vertical="center"/>
      <protection locked="0"/>
    </xf>
    <xf numFmtId="0" fontId="12" fillId="0" borderId="5" xfId="4" applyFont="1" applyBorder="1" applyAlignment="1">
      <alignment horizontal="left" vertical="center" wrapText="1"/>
    </xf>
    <xf numFmtId="0" fontId="12" fillId="0" borderId="1" xfId="4" applyFont="1" applyBorder="1" applyAlignment="1">
      <alignment horizontal="left" vertical="center" shrinkToFit="1"/>
    </xf>
    <xf numFmtId="0" fontId="12" fillId="0" borderId="43" xfId="4" applyFont="1" applyBorder="1" applyAlignment="1">
      <alignment horizontal="left" vertical="center" shrinkToFit="1"/>
    </xf>
    <xf numFmtId="0" fontId="12" fillId="0" borderId="5"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41" xfId="4" applyFont="1" applyBorder="1" applyAlignment="1">
      <alignment horizontal="left" vertical="center" shrinkToFit="1"/>
    </xf>
    <xf numFmtId="0" fontId="12" fillId="0" borderId="13" xfId="4" applyFont="1" applyBorder="1" applyAlignment="1">
      <alignment horizontal="left" vertical="center" shrinkToFit="1"/>
    </xf>
    <xf numFmtId="0" fontId="12" fillId="0" borderId="5" xfId="4" applyFont="1" applyBorder="1" applyAlignment="1">
      <alignment horizontal="left" vertical="center"/>
    </xf>
    <xf numFmtId="0" fontId="12" fillId="0" borderId="41" xfId="4" applyFont="1" applyBorder="1" applyAlignment="1">
      <alignment horizontal="left" vertical="center"/>
    </xf>
    <xf numFmtId="0" fontId="12" fillId="0" borderId="4" xfId="4" applyFont="1" applyBorder="1" applyAlignment="1">
      <alignment horizontal="left" vertical="center" wrapText="1"/>
    </xf>
    <xf numFmtId="0" fontId="12" fillId="0" borderId="41" xfId="4" applyFont="1" applyBorder="1" applyAlignment="1">
      <alignment horizontal="left" vertical="center" wrapText="1"/>
    </xf>
    <xf numFmtId="0" fontId="12" fillId="0" borderId="13" xfId="4" applyFont="1" applyBorder="1" applyAlignment="1">
      <alignment horizontal="left" vertical="center" wrapText="1"/>
    </xf>
    <xf numFmtId="0" fontId="12" fillId="0" borderId="2" xfId="4" applyFont="1" applyBorder="1" applyAlignment="1">
      <alignment horizontal="left" vertical="center" wrapText="1"/>
    </xf>
    <xf numFmtId="0" fontId="12" fillId="0" borderId="3" xfId="4" applyFont="1" applyBorder="1" applyAlignment="1">
      <alignment horizontal="center" vertical="center"/>
    </xf>
    <xf numFmtId="194" fontId="12" fillId="13" borderId="37" xfId="4" applyNumberFormat="1" applyFont="1" applyFill="1" applyBorder="1" applyAlignment="1" applyProtection="1">
      <alignment vertical="center" shrinkToFit="1"/>
      <protection locked="0"/>
    </xf>
    <xf numFmtId="194" fontId="0" fillId="13" borderId="37" xfId="0" applyNumberFormat="1" applyFill="1" applyBorder="1" applyAlignment="1">
      <alignment vertical="center" shrinkToFit="1"/>
    </xf>
    <xf numFmtId="180" fontId="12" fillId="0" borderId="43" xfId="4" applyNumberFormat="1" applyFont="1" applyBorder="1" applyAlignment="1" applyProtection="1">
      <alignment horizontal="center" vertical="center" shrinkToFit="1"/>
      <protection locked="0"/>
    </xf>
    <xf numFmtId="194" fontId="12" fillId="13" borderId="41" xfId="4" applyNumberFormat="1" applyFont="1" applyFill="1" applyBorder="1" applyAlignment="1" applyProtection="1">
      <alignment horizontal="center" vertical="center" shrinkToFit="1"/>
      <protection locked="0"/>
    </xf>
    <xf numFmtId="180" fontId="12" fillId="0" borderId="41" xfId="4" applyNumberFormat="1" applyFont="1" applyBorder="1" applyAlignment="1" applyProtection="1">
      <alignment horizontal="center" vertical="center" shrinkToFit="1"/>
      <protection locked="0"/>
    </xf>
    <xf numFmtId="0" fontId="12" fillId="0" borderId="3" xfId="4" applyFont="1" applyBorder="1" applyAlignment="1">
      <alignment horizontal="left" vertical="center" shrinkToFit="1"/>
    </xf>
    <xf numFmtId="0" fontId="12" fillId="0" borderId="0" xfId="4" applyFont="1" applyAlignment="1">
      <alignment horizontal="left" vertical="center" shrinkToFit="1"/>
    </xf>
    <xf numFmtId="182" fontId="12" fillId="0" borderId="12" xfId="4" applyNumberFormat="1" applyFont="1" applyBorder="1" applyAlignment="1" applyProtection="1">
      <alignment horizontal="left" vertical="center" shrinkToFit="1"/>
      <protection locked="0"/>
    </xf>
    <xf numFmtId="182" fontId="12" fillId="0" borderId="37" xfId="4" applyNumberFormat="1" applyFont="1" applyBorder="1" applyAlignment="1" applyProtection="1">
      <alignment horizontal="left" vertical="center" shrinkToFit="1"/>
      <protection locked="0"/>
    </xf>
    <xf numFmtId="182" fontId="12" fillId="0" borderId="23" xfId="4" applyNumberFormat="1" applyFont="1" applyBorder="1" applyAlignment="1" applyProtection="1">
      <alignment horizontal="left" vertical="center" shrinkToFit="1"/>
      <protection locked="0"/>
    </xf>
    <xf numFmtId="182" fontId="12" fillId="15" borderId="37" xfId="4" applyNumberFormat="1" applyFont="1" applyFill="1" applyBorder="1" applyAlignment="1" applyProtection="1">
      <alignment horizontal="center" vertical="center" shrinkToFit="1"/>
      <protection locked="0"/>
    </xf>
    <xf numFmtId="182" fontId="12" fillId="15" borderId="49" xfId="4" applyNumberFormat="1" applyFont="1" applyFill="1" applyBorder="1" applyAlignment="1" applyProtection="1">
      <alignment horizontal="center" vertical="center" shrinkToFit="1"/>
      <protection locked="0"/>
    </xf>
    <xf numFmtId="182" fontId="12" fillId="15" borderId="12" xfId="4" applyNumberFormat="1" applyFont="1" applyFill="1" applyBorder="1" applyAlignment="1" applyProtection="1">
      <alignment horizontal="center" vertical="center" shrinkToFit="1"/>
      <protection locked="0"/>
    </xf>
    <xf numFmtId="182" fontId="12" fillId="15" borderId="23" xfId="4" applyNumberFormat="1" applyFont="1" applyFill="1" applyBorder="1" applyAlignment="1" applyProtection="1">
      <alignment horizontal="center" vertical="center" shrinkToFit="1"/>
      <protection locked="0"/>
    </xf>
    <xf numFmtId="180" fontId="12" fillId="0" borderId="0" xfId="4" applyNumberFormat="1" applyFont="1" applyAlignment="1" applyProtection="1">
      <alignment horizontal="center" vertical="center" shrinkToFit="1"/>
      <protection locked="0"/>
    </xf>
    <xf numFmtId="0" fontId="12" fillId="0" borderId="41" xfId="4" applyFont="1" applyBorder="1" applyAlignment="1">
      <alignment horizontal="center" vertical="center"/>
    </xf>
    <xf numFmtId="194" fontId="12" fillId="13" borderId="0" xfId="4" applyNumberFormat="1" applyFont="1" applyFill="1" applyAlignment="1">
      <alignment horizontal="center" vertical="center"/>
    </xf>
    <xf numFmtId="0" fontId="12" fillId="0" borderId="3" xfId="4" applyFont="1" applyBorder="1" applyAlignment="1">
      <alignment horizontal="left" vertical="center" wrapText="1"/>
    </xf>
    <xf numFmtId="0" fontId="12" fillId="0" borderId="0" xfId="4" applyFont="1" applyAlignment="1">
      <alignment horizontal="left" vertical="center" wrapText="1"/>
    </xf>
    <xf numFmtId="0" fontId="12" fillId="0" borderId="6" xfId="4" applyFont="1" applyBorder="1" applyAlignment="1">
      <alignment horizontal="left" vertical="center" wrapText="1"/>
    </xf>
    <xf numFmtId="0" fontId="12" fillId="0" borderId="1" xfId="4" applyFont="1" applyBorder="1" applyAlignment="1">
      <alignment horizontal="left" vertical="center" wrapText="1" shrinkToFit="1"/>
    </xf>
    <xf numFmtId="0" fontId="12" fillId="15" borderId="1" xfId="4" applyFont="1" applyFill="1" applyBorder="1" applyAlignment="1">
      <alignment horizontal="center" vertical="center"/>
    </xf>
    <xf numFmtId="0" fontId="12" fillId="15" borderId="43" xfId="4" applyFont="1" applyFill="1" applyBorder="1" applyAlignment="1">
      <alignment horizontal="center" vertical="center"/>
    </xf>
    <xf numFmtId="0" fontId="12" fillId="15" borderId="51" xfId="4" applyFont="1" applyFill="1" applyBorder="1" applyAlignment="1">
      <alignment horizontal="center" vertical="center"/>
    </xf>
    <xf numFmtId="0" fontId="12" fillId="15" borderId="4" xfId="4" applyFont="1" applyFill="1" applyBorder="1" applyAlignment="1">
      <alignment horizontal="center" vertical="center"/>
    </xf>
    <xf numFmtId="0" fontId="12" fillId="15" borderId="41" xfId="4" applyFont="1" applyFill="1" applyBorder="1" applyAlignment="1">
      <alignment horizontal="center" vertical="center"/>
    </xf>
    <xf numFmtId="0" fontId="12" fillId="15" borderId="53" xfId="4" applyFont="1" applyFill="1" applyBorder="1" applyAlignment="1">
      <alignment horizontal="center" vertical="center"/>
    </xf>
    <xf numFmtId="0" fontId="12" fillId="15" borderId="52" xfId="4" applyFont="1" applyFill="1" applyBorder="1" applyAlignment="1">
      <alignment horizontal="center" vertical="center"/>
    </xf>
    <xf numFmtId="0" fontId="12" fillId="15" borderId="54" xfId="4" applyFont="1" applyFill="1" applyBorder="1" applyAlignment="1">
      <alignment horizontal="center" vertical="center"/>
    </xf>
    <xf numFmtId="0" fontId="12" fillId="15" borderId="5" xfId="4" applyFont="1" applyFill="1" applyBorder="1" applyAlignment="1">
      <alignment horizontal="center" vertical="center"/>
    </xf>
    <xf numFmtId="0" fontId="12" fillId="15" borderId="13" xfId="4" applyFont="1" applyFill="1" applyBorder="1" applyAlignment="1">
      <alignment horizontal="center" vertical="center"/>
    </xf>
    <xf numFmtId="180" fontId="12" fillId="11" borderId="37" xfId="4" applyNumberFormat="1" applyFont="1" applyFill="1" applyBorder="1" applyAlignment="1" applyProtection="1">
      <alignment horizontal="center" vertical="center" shrinkToFit="1"/>
      <protection locked="0"/>
    </xf>
    <xf numFmtId="0" fontId="12" fillId="0" borderId="4" xfId="4" applyFont="1" applyBorder="1" applyAlignment="1">
      <alignment horizontal="left" vertical="center"/>
    </xf>
    <xf numFmtId="0" fontId="12" fillId="15" borderId="12" xfId="4" applyFont="1" applyFill="1" applyBorder="1" applyAlignment="1">
      <alignment horizontal="center" vertical="center" wrapText="1"/>
    </xf>
    <xf numFmtId="0" fontId="12" fillId="15" borderId="37" xfId="4" applyFont="1" applyFill="1" applyBorder="1" applyAlignment="1">
      <alignment horizontal="center" vertical="center" wrapText="1"/>
    </xf>
    <xf numFmtId="0" fontId="12" fillId="15" borderId="49" xfId="4" applyFont="1" applyFill="1" applyBorder="1" applyAlignment="1">
      <alignment horizontal="center" vertical="center" wrapText="1"/>
    </xf>
    <xf numFmtId="0" fontId="12" fillId="15" borderId="50" xfId="4" applyFont="1" applyFill="1" applyBorder="1" applyAlignment="1">
      <alignment horizontal="center" vertical="center" wrapText="1"/>
    </xf>
    <xf numFmtId="0" fontId="12" fillId="15" borderId="23" xfId="4" applyFont="1" applyFill="1" applyBorder="1" applyAlignment="1">
      <alignment horizontal="center" vertical="center" wrapText="1"/>
    </xf>
    <xf numFmtId="0" fontId="12" fillId="0" borderId="37" xfId="4" applyFont="1" applyBorder="1" applyAlignment="1">
      <alignment horizontal="center" vertical="center" wrapText="1"/>
    </xf>
    <xf numFmtId="0" fontId="0" fillId="0" borderId="37" xfId="0" applyBorder="1" applyAlignment="1">
      <alignment horizontal="center" vertical="center" wrapText="1"/>
    </xf>
    <xf numFmtId="0" fontId="0" fillId="0" borderId="49" xfId="0" applyBorder="1" applyAlignment="1">
      <alignment horizontal="center" vertical="center" wrapText="1"/>
    </xf>
    <xf numFmtId="0" fontId="0" fillId="0" borderId="23" xfId="0" applyBorder="1" applyAlignment="1">
      <alignment horizontal="center" vertical="center" wrapText="1"/>
    </xf>
    <xf numFmtId="0" fontId="12" fillId="11" borderId="50" xfId="4" applyFont="1" applyFill="1" applyBorder="1" applyAlignment="1">
      <alignment horizontal="left" vertical="center" wrapText="1"/>
    </xf>
    <xf numFmtId="0" fontId="12" fillId="11" borderId="37" xfId="4" applyFont="1" applyFill="1" applyBorder="1" applyAlignment="1">
      <alignment horizontal="left" vertical="center" wrapText="1"/>
    </xf>
    <xf numFmtId="0" fontId="12" fillId="11" borderId="49" xfId="4" applyFont="1" applyFill="1" applyBorder="1" applyAlignment="1">
      <alignment horizontal="left" vertical="center" wrapText="1"/>
    </xf>
    <xf numFmtId="0" fontId="12" fillId="11" borderId="23" xfId="4" applyFont="1" applyFill="1" applyBorder="1" applyAlignment="1">
      <alignment horizontal="left" vertical="center" wrapText="1"/>
    </xf>
    <xf numFmtId="0" fontId="12" fillId="11" borderId="12" xfId="4" applyFont="1" applyFill="1" applyBorder="1" applyAlignment="1">
      <alignment horizontal="left" vertical="center" wrapText="1"/>
    </xf>
    <xf numFmtId="0" fontId="12" fillId="0" borderId="1" xfId="4" applyFont="1" applyBorder="1" applyAlignment="1">
      <alignment horizontal="left" vertical="center"/>
    </xf>
    <xf numFmtId="0" fontId="12" fillId="0" borderId="3" xfId="4" applyFont="1" applyBorder="1" applyAlignment="1">
      <alignment horizontal="left" vertical="center"/>
    </xf>
    <xf numFmtId="0" fontId="12" fillId="0" borderId="0" xfId="4" applyFont="1" applyAlignment="1">
      <alignment horizontal="left" vertical="center"/>
    </xf>
    <xf numFmtId="0" fontId="12" fillId="0" borderId="6" xfId="4" applyFont="1" applyBorder="1" applyAlignment="1">
      <alignment horizontal="left" vertical="center"/>
    </xf>
    <xf numFmtId="0" fontId="12" fillId="15" borderId="23" xfId="4" applyFont="1" applyFill="1" applyBorder="1" applyAlignment="1">
      <alignment horizontal="center" vertical="center"/>
    </xf>
    <xf numFmtId="0" fontId="12" fillId="0" borderId="13" xfId="4" applyFont="1" applyBorder="1" applyAlignment="1">
      <alignment horizontal="left" vertical="center"/>
    </xf>
    <xf numFmtId="0" fontId="12" fillId="13" borderId="12" xfId="4" applyFont="1" applyFill="1" applyBorder="1" applyAlignment="1" applyProtection="1">
      <alignment horizontal="left" vertical="center" wrapText="1" shrinkToFit="1"/>
      <protection locked="0"/>
    </xf>
    <xf numFmtId="0" fontId="12" fillId="13" borderId="37" xfId="4" applyFont="1" applyFill="1" applyBorder="1" applyAlignment="1" applyProtection="1">
      <alignment horizontal="left" vertical="center" wrapText="1" shrinkToFit="1"/>
      <protection locked="0"/>
    </xf>
    <xf numFmtId="0" fontId="0" fillId="13" borderId="37" xfId="0" applyFill="1" applyBorder="1" applyAlignment="1">
      <alignment horizontal="left" vertical="center" wrapText="1" shrinkToFit="1"/>
    </xf>
    <xf numFmtId="0" fontId="0" fillId="13" borderId="23" xfId="0" applyFill="1" applyBorder="1" applyAlignment="1">
      <alignment horizontal="left" vertical="center" wrapText="1" shrinkToFit="1"/>
    </xf>
    <xf numFmtId="190" fontId="12" fillId="0" borderId="37" xfId="4" applyNumberFormat="1" applyFont="1" applyBorder="1" applyAlignment="1">
      <alignment horizontal="right" vertical="center"/>
    </xf>
    <xf numFmtId="190" fontId="0" fillId="0" borderId="37" xfId="0" applyNumberFormat="1" applyBorder="1" applyAlignment="1">
      <alignment horizontal="right" vertical="center"/>
    </xf>
    <xf numFmtId="187" fontId="12" fillId="13" borderId="37" xfId="4" applyNumberFormat="1" applyFont="1" applyFill="1" applyBorder="1" applyAlignment="1" applyProtection="1">
      <alignment horizontal="center" vertical="center" shrinkToFit="1"/>
      <protection locked="0"/>
    </xf>
    <xf numFmtId="187" fontId="0" fillId="0" borderId="37" xfId="0" applyNumberFormat="1" applyBorder="1" applyAlignment="1">
      <alignment horizontal="center" vertical="center" shrinkToFit="1"/>
    </xf>
    <xf numFmtId="188" fontId="12" fillId="13" borderId="37" xfId="4" applyNumberFormat="1" applyFont="1" applyFill="1" applyBorder="1" applyAlignment="1" applyProtection="1">
      <alignment horizontal="center" vertical="center" shrinkToFit="1"/>
      <protection locked="0"/>
    </xf>
    <xf numFmtId="189" fontId="12" fillId="13" borderId="37" xfId="4" applyNumberFormat="1" applyFont="1" applyFill="1" applyBorder="1" applyAlignment="1" applyProtection="1">
      <alignment horizontal="center" vertical="center" shrinkToFit="1"/>
      <protection locked="0"/>
    </xf>
    <xf numFmtId="0" fontId="12" fillId="0" borderId="0" xfId="4" applyFont="1" applyAlignment="1" applyProtection="1">
      <alignment horizontal="center" vertical="center" wrapText="1"/>
      <protection locked="0"/>
    </xf>
    <xf numFmtId="49" fontId="12" fillId="11" borderId="12" xfId="4" applyNumberFormat="1" applyFont="1" applyFill="1" applyBorder="1" applyAlignment="1">
      <alignment horizontal="left" vertical="center"/>
    </xf>
    <xf numFmtId="49" fontId="12" fillId="11" borderId="37" xfId="4" applyNumberFormat="1" applyFont="1" applyFill="1" applyBorder="1" applyAlignment="1">
      <alignment horizontal="left" vertical="center"/>
    </xf>
    <xf numFmtId="49" fontId="12" fillId="11" borderId="23" xfId="4" applyNumberFormat="1" applyFont="1" applyFill="1" applyBorder="1" applyAlignment="1">
      <alignment horizontal="left" vertical="center"/>
    </xf>
    <xf numFmtId="49" fontId="12" fillId="11" borderId="4" xfId="4" applyNumberFormat="1" applyFont="1" applyFill="1" applyBorder="1" applyAlignment="1" applyProtection="1">
      <alignment horizontal="center" vertical="center" wrapText="1"/>
      <protection locked="0"/>
    </xf>
    <xf numFmtId="49" fontId="12" fillId="11" borderId="41" xfId="4" applyNumberFormat="1" applyFont="1" applyFill="1" applyBorder="1" applyAlignment="1" applyProtection="1">
      <alignment horizontal="center" vertical="center" wrapText="1"/>
      <protection locked="0"/>
    </xf>
    <xf numFmtId="49" fontId="12" fillId="11" borderId="13" xfId="4" applyNumberFormat="1" applyFont="1" applyFill="1" applyBorder="1" applyAlignment="1" applyProtection="1">
      <alignment horizontal="center" vertical="center" wrapText="1"/>
      <protection locked="0"/>
    </xf>
    <xf numFmtId="0" fontId="12" fillId="0" borderId="2" xfId="4" applyFont="1" applyBorder="1" applyAlignment="1">
      <alignment horizontal="left" vertical="center"/>
    </xf>
    <xf numFmtId="49" fontId="12" fillId="11" borderId="12" xfId="4" applyNumberFormat="1" applyFont="1" applyFill="1" applyBorder="1" applyAlignment="1" applyProtection="1">
      <alignment horizontal="center" vertical="center" shrinkToFit="1"/>
      <protection locked="0"/>
    </xf>
    <xf numFmtId="49" fontId="12" fillId="11" borderId="37" xfId="4" applyNumberFormat="1" applyFont="1" applyFill="1" applyBorder="1" applyAlignment="1" applyProtection="1">
      <alignment horizontal="center" vertical="center" shrinkToFit="1"/>
      <protection locked="0"/>
    </xf>
    <xf numFmtId="49" fontId="12" fillId="11" borderId="23" xfId="4" applyNumberFormat="1" applyFont="1" applyFill="1" applyBorder="1" applyAlignment="1" applyProtection="1">
      <alignment horizontal="center" vertical="center" shrinkToFit="1"/>
      <protection locked="0"/>
    </xf>
    <xf numFmtId="49" fontId="12" fillId="11" borderId="12" xfId="4" applyNumberFormat="1" applyFont="1" applyFill="1" applyBorder="1" applyAlignment="1" applyProtection="1">
      <alignment horizontal="left" vertical="center" shrinkToFit="1"/>
      <protection locked="0"/>
    </xf>
    <xf numFmtId="49" fontId="12" fillId="11" borderId="37" xfId="4" applyNumberFormat="1" applyFont="1" applyFill="1" applyBorder="1" applyAlignment="1" applyProtection="1">
      <alignment horizontal="left" vertical="center" shrinkToFit="1"/>
      <protection locked="0"/>
    </xf>
    <xf numFmtId="49" fontId="12" fillId="11" borderId="23" xfId="4" applyNumberFormat="1" applyFont="1" applyFill="1" applyBorder="1" applyAlignment="1" applyProtection="1">
      <alignment horizontal="left" vertical="center" shrinkToFit="1"/>
      <protection locked="0"/>
    </xf>
    <xf numFmtId="49" fontId="12" fillId="11" borderId="37" xfId="4" applyNumberFormat="1" applyFont="1" applyFill="1" applyBorder="1" applyAlignment="1" applyProtection="1">
      <alignment horizontal="center" vertical="center" wrapText="1"/>
      <protection locked="0"/>
    </xf>
    <xf numFmtId="49" fontId="12" fillId="11" borderId="23" xfId="4" applyNumberFormat="1" applyFont="1" applyFill="1" applyBorder="1" applyAlignment="1" applyProtection="1">
      <alignment horizontal="center" vertical="center" wrapText="1"/>
      <protection locked="0"/>
    </xf>
    <xf numFmtId="0" fontId="12" fillId="13" borderId="12" xfId="4" applyFont="1" applyFill="1" applyBorder="1" applyAlignment="1" applyProtection="1">
      <alignment horizontal="left" vertical="center" shrinkToFit="1"/>
      <protection locked="0"/>
    </xf>
    <xf numFmtId="0" fontId="12" fillId="13" borderId="37" xfId="4" applyFont="1" applyFill="1" applyBorder="1" applyAlignment="1" applyProtection="1">
      <alignment horizontal="left" vertical="center" shrinkToFit="1"/>
      <protection locked="0"/>
    </xf>
    <xf numFmtId="0" fontId="12" fillId="13" borderId="23" xfId="4" applyFont="1" applyFill="1" applyBorder="1" applyAlignment="1" applyProtection="1">
      <alignment horizontal="left" vertical="center" shrinkToFit="1"/>
      <protection locked="0"/>
    </xf>
    <xf numFmtId="0" fontId="12" fillId="0" borderId="23" xfId="4" applyFont="1" applyBorder="1" applyAlignment="1">
      <alignment horizontal="center" vertical="center"/>
    </xf>
    <xf numFmtId="190" fontId="12" fillId="0" borderId="12" xfId="4" applyNumberFormat="1" applyFont="1" applyBorder="1" applyAlignment="1">
      <alignment horizontal="right" vertical="center"/>
    </xf>
    <xf numFmtId="187" fontId="0" fillId="13" borderId="37" xfId="0" applyNumberFormat="1" applyFill="1" applyBorder="1" applyAlignment="1">
      <alignment horizontal="center" vertical="center" shrinkToFit="1"/>
    </xf>
    <xf numFmtId="0" fontId="12" fillId="13" borderId="12" xfId="4" applyFont="1" applyFill="1" applyBorder="1" applyAlignment="1" applyProtection="1">
      <alignment horizontal="left" vertical="center" wrapText="1"/>
      <protection locked="0"/>
    </xf>
    <xf numFmtId="0" fontId="12" fillId="13" borderId="37" xfId="4" applyFont="1" applyFill="1" applyBorder="1" applyAlignment="1" applyProtection="1">
      <alignment horizontal="left" vertical="center" wrapText="1"/>
      <protection locked="0"/>
    </xf>
    <xf numFmtId="0" fontId="0" fillId="0" borderId="37" xfId="0" applyBorder="1" applyAlignment="1">
      <alignment vertical="center" wrapText="1"/>
    </xf>
    <xf numFmtId="0" fontId="0" fillId="0" borderId="23" xfId="0" applyBorder="1" applyAlignment="1">
      <alignment vertical="center" wrapText="1"/>
    </xf>
    <xf numFmtId="0" fontId="12" fillId="0" borderId="12" xfId="4" applyFont="1" applyBorder="1" applyAlignment="1">
      <alignment horizontal="center" vertical="center"/>
    </xf>
    <xf numFmtId="0" fontId="12" fillId="13" borderId="37" xfId="4" applyFont="1" applyFill="1" applyBorder="1" applyAlignment="1">
      <alignment horizontal="center" vertical="center"/>
    </xf>
    <xf numFmtId="0" fontId="0" fillId="0" borderId="37" xfId="0" applyBorder="1" applyAlignment="1">
      <alignment vertical="center" shrinkToFit="1"/>
    </xf>
    <xf numFmtId="0" fontId="0" fillId="0" borderId="23" xfId="0" applyBorder="1" applyAlignment="1">
      <alignment vertical="center" shrinkToFit="1"/>
    </xf>
    <xf numFmtId="49" fontId="12" fillId="11" borderId="12" xfId="4" applyNumberFormat="1" applyFont="1" applyFill="1" applyBorder="1" applyAlignment="1">
      <alignment horizontal="center" vertical="center"/>
    </xf>
    <xf numFmtId="49" fontId="12" fillId="11" borderId="37" xfId="4" applyNumberFormat="1" applyFont="1" applyFill="1" applyBorder="1" applyAlignment="1">
      <alignment horizontal="center" vertical="center"/>
    </xf>
    <xf numFmtId="49" fontId="12" fillId="11" borderId="23" xfId="4" applyNumberFormat="1" applyFont="1" applyFill="1" applyBorder="1" applyAlignment="1">
      <alignment horizontal="center" vertical="center"/>
    </xf>
    <xf numFmtId="0" fontId="30" fillId="13" borderId="37" xfId="4" applyFill="1" applyBorder="1" applyAlignment="1">
      <alignment horizontal="left" vertical="center" shrinkToFit="1"/>
    </xf>
    <xf numFmtId="0" fontId="30" fillId="13" borderId="23" xfId="4" applyFill="1" applyBorder="1" applyAlignment="1">
      <alignment horizontal="left" vertical="center" shrinkToFit="1"/>
    </xf>
    <xf numFmtId="0" fontId="30" fillId="0" borderId="37" xfId="4" applyBorder="1" applyAlignment="1">
      <alignment vertical="center" wrapText="1"/>
    </xf>
    <xf numFmtId="0" fontId="30" fillId="0" borderId="23" xfId="4" applyBorder="1" applyAlignment="1">
      <alignment vertical="center" wrapText="1"/>
    </xf>
    <xf numFmtId="0" fontId="15" fillId="0" borderId="0" xfId="4" applyFont="1" applyAlignment="1">
      <alignment horizontal="center" vertical="center"/>
    </xf>
    <xf numFmtId="0" fontId="15" fillId="13" borderId="0" xfId="4" applyFont="1" applyFill="1" applyAlignment="1" applyProtection="1">
      <alignment horizontal="right" vertical="center"/>
      <protection locked="0"/>
    </xf>
    <xf numFmtId="0" fontId="15" fillId="13" borderId="60" xfId="4" applyFont="1" applyFill="1" applyBorder="1" applyAlignment="1" applyProtection="1">
      <alignment horizontal="right" vertical="center"/>
      <protection locked="0"/>
    </xf>
    <xf numFmtId="190" fontId="15" fillId="0" borderId="0" xfId="4" applyNumberFormat="1" applyFont="1" applyAlignment="1" applyProtection="1">
      <alignment horizontal="right" vertical="center" shrinkToFit="1"/>
      <protection locked="0"/>
    </xf>
    <xf numFmtId="190" fontId="0" fillId="0" borderId="0" xfId="0" applyNumberFormat="1" applyAlignment="1">
      <alignment horizontal="right" vertical="center" shrinkToFit="1"/>
    </xf>
    <xf numFmtId="190" fontId="0" fillId="0" borderId="61" xfId="0" applyNumberFormat="1" applyBorder="1" applyAlignment="1">
      <alignment horizontal="right" vertical="center" shrinkToFit="1"/>
    </xf>
    <xf numFmtId="187" fontId="15" fillId="13" borderId="0" xfId="4" applyNumberFormat="1" applyFont="1" applyFill="1" applyAlignment="1" applyProtection="1">
      <alignment horizontal="center" vertical="center" shrinkToFit="1"/>
      <protection locked="0"/>
    </xf>
    <xf numFmtId="187" fontId="0" fillId="0" borderId="0" xfId="0" applyNumberFormat="1" applyAlignment="1">
      <alignment horizontal="center" vertical="center" shrinkToFit="1"/>
    </xf>
    <xf numFmtId="187" fontId="0" fillId="0" borderId="61" xfId="0" applyNumberFormat="1" applyBorder="1" applyAlignment="1">
      <alignment horizontal="center" vertical="center" shrinkToFit="1"/>
    </xf>
    <xf numFmtId="188" fontId="15" fillId="13" borderId="0" xfId="4" applyNumberFormat="1" applyFont="1" applyFill="1" applyAlignment="1" applyProtection="1">
      <alignment horizontal="center" vertical="center" shrinkToFit="1"/>
      <protection locked="0"/>
    </xf>
    <xf numFmtId="188" fontId="15" fillId="13" borderId="61" xfId="4" applyNumberFormat="1" applyFont="1" applyFill="1" applyBorder="1" applyAlignment="1" applyProtection="1">
      <alignment horizontal="center" vertical="center" shrinkToFit="1"/>
      <protection locked="0"/>
    </xf>
    <xf numFmtId="189" fontId="15" fillId="13" borderId="0" xfId="4" applyNumberFormat="1" applyFont="1" applyFill="1" applyAlignment="1" applyProtection="1">
      <alignment horizontal="center" vertical="center" shrinkToFit="1"/>
      <protection locked="0"/>
    </xf>
    <xf numFmtId="189" fontId="15" fillId="13" borderId="61" xfId="4" applyNumberFormat="1" applyFont="1" applyFill="1" applyBorder="1" applyAlignment="1" applyProtection="1">
      <alignment horizontal="center" vertical="center" shrinkToFit="1"/>
      <protection locked="0"/>
    </xf>
    <xf numFmtId="0" fontId="6" fillId="13" borderId="0" xfId="0" applyFont="1" applyFill="1" applyAlignment="1">
      <alignment horizontal="left" vertical="top" wrapText="1"/>
    </xf>
    <xf numFmtId="0" fontId="25" fillId="0" borderId="1" xfId="0" applyFont="1" applyBorder="1" applyAlignment="1">
      <alignment horizontal="center" vertical="center"/>
    </xf>
    <xf numFmtId="0" fontId="25" fillId="0" borderId="43"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41" xfId="0" applyFont="1" applyBorder="1" applyAlignment="1">
      <alignment horizontal="center" vertical="center"/>
    </xf>
    <xf numFmtId="0" fontId="25" fillId="0" borderId="13"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distributed" vertical="center"/>
    </xf>
    <xf numFmtId="0" fontId="6" fillId="0" borderId="58" xfId="0" applyFont="1" applyBorder="1" applyAlignment="1">
      <alignment horizontal="distributed" vertical="center"/>
    </xf>
    <xf numFmtId="0" fontId="6" fillId="0" borderId="57" xfId="0" applyFont="1" applyBorder="1" applyAlignment="1">
      <alignment horizontal="distributed" vertical="center"/>
    </xf>
    <xf numFmtId="49" fontId="6" fillId="11" borderId="43" xfId="0" applyNumberFormat="1"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textRotation="255"/>
    </xf>
    <xf numFmtId="49" fontId="6" fillId="11" borderId="41" xfId="0" applyNumberFormat="1" applyFont="1" applyFill="1" applyBorder="1" applyAlignment="1">
      <alignment horizontal="center" vertical="center"/>
    </xf>
    <xf numFmtId="0" fontId="6" fillId="0" borderId="19" xfId="0" applyFont="1" applyBorder="1" applyAlignment="1">
      <alignment horizontal="distributed" vertical="center"/>
    </xf>
    <xf numFmtId="58" fontId="12" fillId="11" borderId="0" xfId="0" applyNumberFormat="1" applyFont="1" applyFill="1" applyAlignment="1" applyProtection="1">
      <alignment horizontal="right" vertical="center"/>
      <protection locked="0"/>
    </xf>
    <xf numFmtId="58" fontId="12" fillId="11" borderId="6" xfId="0" applyNumberFormat="1" applyFont="1" applyFill="1" applyBorder="1" applyAlignment="1" applyProtection="1">
      <alignment horizontal="right" vertical="center"/>
      <protection locked="0"/>
    </xf>
    <xf numFmtId="0" fontId="6" fillId="13" borderId="6" xfId="0" applyFont="1" applyFill="1" applyBorder="1" applyAlignment="1">
      <alignment horizontal="left" vertical="top" wrapText="1"/>
    </xf>
    <xf numFmtId="0" fontId="6" fillId="0" borderId="1" xfId="0" applyFont="1" applyBorder="1" applyAlignment="1">
      <alignment horizontal="left" vertical="top"/>
    </xf>
    <xf numFmtId="0" fontId="6" fillId="0" borderId="43" xfId="0" applyFont="1" applyBorder="1" applyAlignment="1">
      <alignment horizontal="left" vertical="top"/>
    </xf>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4" xfId="0" applyFont="1" applyBorder="1" applyAlignment="1">
      <alignment horizontal="left" vertical="top"/>
    </xf>
    <xf numFmtId="0" fontId="6" fillId="0" borderId="41" xfId="0" applyFont="1" applyBorder="1" applyAlignment="1">
      <alignment horizontal="left" vertical="top"/>
    </xf>
    <xf numFmtId="0" fontId="6" fillId="0" borderId="13" xfId="0" applyFont="1" applyBorder="1" applyAlignment="1">
      <alignment horizontal="left" vertical="top"/>
    </xf>
    <xf numFmtId="0" fontId="6" fillId="11" borderId="12" xfId="0" applyFont="1" applyFill="1" applyBorder="1" applyAlignment="1">
      <alignment horizontal="center" vertical="center"/>
    </xf>
    <xf numFmtId="0" fontId="6" fillId="11" borderId="37"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0" xfId="0" applyFont="1" applyFill="1" applyAlignment="1">
      <alignment horizontal="center" vertical="center"/>
    </xf>
    <xf numFmtId="0" fontId="6" fillId="11" borderId="6"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62"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63" xfId="0" applyFont="1" applyFill="1" applyBorder="1" applyAlignment="1">
      <alignment horizontal="center" vertical="center"/>
    </xf>
    <xf numFmtId="0" fontId="6" fillId="11" borderId="64" xfId="0" applyFont="1" applyFill="1" applyBorder="1" applyAlignment="1">
      <alignment horizontal="center" vertical="center"/>
    </xf>
    <xf numFmtId="0" fontId="6" fillId="11" borderId="65"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8" xfId="0" applyFont="1" applyBorder="1" applyAlignment="1">
      <alignment horizontal="center" vertical="center"/>
    </xf>
    <xf numFmtId="0" fontId="6" fillId="0" borderId="48" xfId="0" applyFont="1" applyBorder="1" applyAlignment="1">
      <alignment horizontal="distributed" vertical="center"/>
    </xf>
    <xf numFmtId="0" fontId="6" fillId="13" borderId="14" xfId="0" applyFont="1" applyFill="1" applyBorder="1" applyAlignment="1">
      <alignment horizontal="left" vertical="center"/>
    </xf>
    <xf numFmtId="0" fontId="6" fillId="13" borderId="62" xfId="0" applyFont="1" applyFill="1" applyBorder="1" applyAlignment="1">
      <alignment horizontal="left" vertical="center"/>
    </xf>
    <xf numFmtId="0" fontId="6" fillId="13" borderId="15" xfId="0" applyFont="1" applyFill="1" applyBorder="1" applyAlignment="1">
      <alignment horizontal="left" vertical="center"/>
    </xf>
    <xf numFmtId="192" fontId="6" fillId="13" borderId="63" xfId="0" applyNumberFormat="1" applyFont="1" applyFill="1" applyBorder="1" applyAlignment="1">
      <alignment horizontal="left" vertical="center"/>
    </xf>
    <xf numFmtId="192" fontId="6" fillId="13" borderId="64" xfId="0" applyNumberFormat="1" applyFont="1" applyFill="1" applyBorder="1" applyAlignment="1">
      <alignment horizontal="left" vertical="center"/>
    </xf>
    <xf numFmtId="192" fontId="6" fillId="13" borderId="65" xfId="0" applyNumberFormat="1" applyFont="1" applyFill="1" applyBorder="1" applyAlignment="1">
      <alignment horizontal="left" vertical="center"/>
    </xf>
    <xf numFmtId="0" fontId="12" fillId="0" borderId="37" xfId="0" applyFont="1" applyBorder="1" applyAlignment="1">
      <alignment horizontal="left" vertical="center"/>
    </xf>
    <xf numFmtId="0" fontId="6" fillId="13" borderId="41" xfId="0" applyFont="1" applyFill="1" applyBorder="1" applyAlignment="1">
      <alignment horizontal="left" vertical="center" shrinkToFit="1"/>
    </xf>
    <xf numFmtId="0" fontId="6" fillId="11" borderId="41" xfId="0" applyFont="1" applyFill="1" applyBorder="1" applyAlignment="1">
      <alignment horizontal="left" vertical="center"/>
    </xf>
    <xf numFmtId="0" fontId="12" fillId="0" borderId="43" xfId="0" applyFont="1" applyBorder="1" applyAlignment="1">
      <alignment horizontal="left" vertical="center"/>
    </xf>
    <xf numFmtId="0" fontId="6" fillId="13" borderId="0" xfId="0" applyFont="1" applyFill="1" applyAlignment="1">
      <alignment horizontal="left" vertical="center" shrinkToFit="1"/>
    </xf>
    <xf numFmtId="0" fontId="6" fillId="11" borderId="0" xfId="0" applyFont="1" applyFill="1" applyAlignment="1">
      <alignment horizontal="left" vertical="center" shrinkToFit="1"/>
    </xf>
    <xf numFmtId="0" fontId="6" fillId="13" borderId="0" xfId="0" applyFont="1" applyFill="1" applyAlignment="1">
      <alignment horizontal="center" vertical="center" shrinkToFit="1"/>
    </xf>
    <xf numFmtId="0" fontId="6" fillId="11" borderId="0" xfId="0" applyFont="1" applyFill="1" applyAlignment="1">
      <alignment horizontal="left" vertical="center"/>
    </xf>
    <xf numFmtId="0" fontId="6" fillId="11" borderId="0" xfId="0" applyFont="1" applyFill="1" applyAlignment="1">
      <alignment horizontal="center" vertical="center" shrinkToFit="1"/>
    </xf>
    <xf numFmtId="0" fontId="12" fillId="13" borderId="0" xfId="0" applyFont="1" applyFill="1" applyAlignment="1">
      <alignment horizontal="left" vertical="top" wrapText="1"/>
    </xf>
    <xf numFmtId="0" fontId="12" fillId="13" borderId="41" xfId="0" applyFont="1" applyFill="1" applyBorder="1" applyAlignment="1">
      <alignment horizontal="left" vertical="top" wrapText="1"/>
    </xf>
    <xf numFmtId="0" fontId="12" fillId="13" borderId="37" xfId="0" applyFont="1" applyFill="1" applyBorder="1" applyAlignment="1">
      <alignment horizontal="center" vertical="center"/>
    </xf>
    <xf numFmtId="192" fontId="12" fillId="13" borderId="37" xfId="0" applyNumberFormat="1" applyFont="1" applyFill="1" applyBorder="1" applyAlignment="1">
      <alignment horizontal="center" vertical="center"/>
    </xf>
    <xf numFmtId="0" fontId="12" fillId="11" borderId="37" xfId="0" applyFont="1" applyFill="1" applyBorder="1" applyAlignment="1">
      <alignment horizontal="center" vertical="center"/>
    </xf>
    <xf numFmtId="192" fontId="12" fillId="11" borderId="2" xfId="0" applyNumberFormat="1" applyFont="1" applyFill="1" applyBorder="1" applyAlignment="1">
      <alignment horizontal="left"/>
    </xf>
    <xf numFmtId="0" fontId="12" fillId="13" borderId="12" xfId="0" applyFont="1" applyFill="1" applyBorder="1" applyAlignment="1">
      <alignment horizontal="left" wrapText="1"/>
    </xf>
    <xf numFmtId="0" fontId="12" fillId="13" borderId="37" xfId="0" applyFont="1" applyFill="1" applyBorder="1" applyAlignment="1">
      <alignment horizontal="left" wrapText="1"/>
    </xf>
    <xf numFmtId="0" fontId="12" fillId="13" borderId="23" xfId="0" applyFont="1" applyFill="1" applyBorder="1" applyAlignment="1">
      <alignment horizontal="left" wrapText="1"/>
    </xf>
    <xf numFmtId="0" fontId="12" fillId="11" borderId="0" xfId="0" applyFont="1" applyFill="1" applyAlignment="1">
      <alignment horizontal="left" vertical="top" wrapText="1"/>
    </xf>
    <xf numFmtId="192" fontId="12" fillId="13" borderId="12" xfId="0" applyNumberFormat="1" applyFont="1" applyFill="1" applyBorder="1" applyAlignment="1">
      <alignment horizontal="left"/>
    </xf>
    <xf numFmtId="192" fontId="12" fillId="13" borderId="37" xfId="0" applyNumberFormat="1" applyFont="1" applyFill="1" applyBorder="1" applyAlignment="1">
      <alignment horizontal="left"/>
    </xf>
    <xf numFmtId="0" fontId="12" fillId="13" borderId="37" xfId="0" applyFont="1" applyFill="1" applyBorder="1" applyAlignment="1">
      <alignment horizontal="left"/>
    </xf>
    <xf numFmtId="0" fontId="12" fillId="13" borderId="23" xfId="0" applyFont="1" applyFill="1" applyBorder="1" applyAlignment="1">
      <alignment horizontal="left"/>
    </xf>
    <xf numFmtId="0" fontId="12" fillId="0" borderId="2" xfId="0" applyFont="1" applyBorder="1" applyAlignment="1">
      <alignment horizontal="distributed" justifyLastLine="1"/>
    </xf>
    <xf numFmtId="0" fontId="12" fillId="0" borderId="2" xfId="0" applyFont="1" applyBorder="1" applyAlignment="1">
      <alignment horizontal="distributed" vertical="center" justifyLastLine="1"/>
    </xf>
    <xf numFmtId="192" fontId="12" fillId="11" borderId="1" xfId="0" applyNumberFormat="1" applyFont="1" applyFill="1" applyBorder="1" applyAlignment="1">
      <alignment horizontal="left"/>
    </xf>
    <xf numFmtId="192" fontId="12" fillId="11" borderId="43" xfId="0" applyNumberFormat="1" applyFont="1" applyFill="1" applyBorder="1" applyAlignment="1">
      <alignment horizontal="left"/>
    </xf>
    <xf numFmtId="192" fontId="12" fillId="11" borderId="5" xfId="0" applyNumberFormat="1" applyFont="1" applyFill="1" applyBorder="1" applyAlignment="1">
      <alignment horizontal="left"/>
    </xf>
    <xf numFmtId="192" fontId="12" fillId="11" borderId="4" xfId="0" applyNumberFormat="1" applyFont="1" applyFill="1" applyBorder="1" applyAlignment="1">
      <alignment horizontal="left"/>
    </xf>
    <xf numFmtId="192" fontId="12" fillId="11" borderId="41" xfId="0" applyNumberFormat="1" applyFont="1" applyFill="1" applyBorder="1" applyAlignment="1">
      <alignment horizontal="left"/>
    </xf>
    <xf numFmtId="192" fontId="12" fillId="11" borderId="13" xfId="0" applyNumberFormat="1" applyFont="1" applyFill="1" applyBorder="1" applyAlignment="1">
      <alignment horizontal="left"/>
    </xf>
    <xf numFmtId="0" fontId="34" fillId="18" borderId="0" xfId="0" applyFont="1" applyFill="1" applyProtection="1">
      <alignment vertical="center"/>
      <protection locked="0"/>
    </xf>
    <xf numFmtId="0" fontId="6" fillId="0" borderId="0" xfId="0" applyFont="1" applyProtection="1">
      <alignment vertical="center"/>
      <protection locked="0"/>
    </xf>
    <xf numFmtId="0" fontId="6" fillId="0" borderId="12" xfId="0" applyFont="1" applyBorder="1" applyAlignment="1">
      <alignment horizontal="center" vertical="center"/>
    </xf>
    <xf numFmtId="0" fontId="6" fillId="0" borderId="37" xfId="0" applyFont="1" applyBorder="1" applyAlignment="1">
      <alignment horizontal="center" vertical="center"/>
    </xf>
    <xf numFmtId="0" fontId="6" fillId="0" borderId="23" xfId="0" applyFont="1" applyBorder="1">
      <alignment vertical="center"/>
    </xf>
    <xf numFmtId="0" fontId="6" fillId="19" borderId="0" xfId="0" applyFont="1" applyFill="1" applyProtection="1">
      <alignment vertical="center"/>
      <protection locked="0"/>
    </xf>
    <xf numFmtId="0" fontId="6" fillId="0" borderId="23" xfId="0" applyFont="1" applyBorder="1" applyAlignment="1">
      <alignment horizontal="center" vertical="center"/>
    </xf>
    <xf numFmtId="0" fontId="6" fillId="0" borderId="0" xfId="0" applyFont="1" applyAlignment="1">
      <alignment horizontal="right" vertical="center"/>
    </xf>
    <xf numFmtId="0" fontId="0" fillId="0" borderId="0" xfId="0" applyAlignment="1">
      <alignment horizontal="right" vertical="center"/>
    </xf>
    <xf numFmtId="0" fontId="33" fillId="0" borderId="0" xfId="0" applyFont="1" applyAlignment="1">
      <alignment horizontal="center" vertical="center"/>
    </xf>
    <xf numFmtId="58" fontId="6" fillId="0" borderId="0" xfId="0" applyNumberFormat="1" applyFont="1" applyAlignment="1">
      <alignment horizontal="center" vertical="center"/>
    </xf>
    <xf numFmtId="0" fontId="26" fillId="0" borderId="0" xfId="0" applyFont="1" applyAlignment="1">
      <alignment horizontal="center" vertical="center"/>
    </xf>
    <xf numFmtId="0" fontId="4" fillId="0" borderId="66"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lignment vertical="center"/>
    </xf>
    <xf numFmtId="0" fontId="4" fillId="0" borderId="2" xfId="0" applyFont="1" applyBorder="1" applyAlignment="1">
      <alignment vertical="center" wrapText="1"/>
    </xf>
    <xf numFmtId="0" fontId="8" fillId="17" borderId="12" xfId="0" applyFont="1" applyFill="1" applyBorder="1" applyAlignment="1" applyProtection="1">
      <alignment horizontal="center" vertical="center" wrapText="1"/>
      <protection locked="0"/>
    </xf>
    <xf numFmtId="0" fontId="8" fillId="17" borderId="37" xfId="0" applyFont="1" applyFill="1" applyBorder="1" applyAlignment="1" applyProtection="1">
      <alignment horizontal="center" vertical="center" wrapText="1"/>
      <protection locked="0"/>
    </xf>
    <xf numFmtId="0" fontId="8" fillId="17" borderId="23" xfId="0" applyFont="1" applyFill="1" applyBorder="1" applyAlignment="1" applyProtection="1">
      <alignment horizontal="center" vertical="center" wrapText="1"/>
      <protection locked="0"/>
    </xf>
    <xf numFmtId="0" fontId="4" fillId="0" borderId="12" xfId="0" applyFont="1" applyBorder="1" applyAlignment="1">
      <alignment vertical="center" wrapText="1"/>
    </xf>
    <xf numFmtId="0" fontId="4" fillId="0" borderId="37" xfId="0" applyFont="1" applyBorder="1" applyAlignment="1">
      <alignment vertical="center" wrapText="1"/>
    </xf>
    <xf numFmtId="0" fontId="8" fillId="17" borderId="12" xfId="0" applyFont="1" applyFill="1" applyBorder="1" applyAlignment="1" applyProtection="1">
      <alignment vertical="center" wrapText="1"/>
      <protection locked="0"/>
    </xf>
    <xf numFmtId="0" fontId="8" fillId="17" borderId="37" xfId="0" applyFont="1" applyFill="1" applyBorder="1" applyAlignment="1" applyProtection="1">
      <alignment vertical="center" wrapText="1"/>
      <protection locked="0"/>
    </xf>
    <xf numFmtId="0" fontId="8" fillId="17" borderId="23" xfId="0" applyFont="1" applyFill="1" applyBorder="1" applyAlignment="1" applyProtection="1">
      <alignment vertical="center" wrapText="1"/>
      <protection locked="0"/>
    </xf>
    <xf numFmtId="0" fontId="26" fillId="17" borderId="12" xfId="0" applyFont="1" applyFill="1" applyBorder="1" applyAlignment="1" applyProtection="1">
      <alignment vertical="center" wrapText="1"/>
      <protection locked="0"/>
    </xf>
    <xf numFmtId="0" fontId="26" fillId="17" borderId="37" xfId="0" applyFont="1" applyFill="1" applyBorder="1" applyAlignment="1" applyProtection="1">
      <alignment vertical="center" wrapText="1"/>
      <protection locked="0"/>
    </xf>
    <xf numFmtId="0" fontId="4" fillId="0" borderId="4" xfId="0" applyFont="1" applyBorder="1" applyAlignment="1">
      <alignment vertical="center" wrapText="1"/>
    </xf>
    <xf numFmtId="0" fontId="4" fillId="0" borderId="41" xfId="0" applyFont="1" applyBorder="1" applyAlignment="1">
      <alignment vertical="center" wrapText="1"/>
    </xf>
    <xf numFmtId="0" fontId="4" fillId="0" borderId="23" xfId="0" applyFont="1" applyBorder="1" applyAlignment="1">
      <alignment vertical="center" wrapText="1"/>
    </xf>
    <xf numFmtId="0" fontId="4" fillId="16" borderId="12" xfId="0" applyFont="1" applyFill="1" applyBorder="1" applyAlignment="1">
      <alignment vertical="center" wrapText="1"/>
    </xf>
    <xf numFmtId="0" fontId="4" fillId="16" borderId="37" xfId="0" applyFont="1" applyFill="1" applyBorder="1" applyAlignment="1">
      <alignment vertical="center" wrapText="1"/>
    </xf>
    <xf numFmtId="0" fontId="4" fillId="16" borderId="23" xfId="0" applyFont="1" applyFill="1" applyBorder="1" applyAlignment="1">
      <alignment vertical="center" wrapText="1"/>
    </xf>
    <xf numFmtId="0" fontId="4" fillId="16" borderId="12" xfId="0" applyFont="1" applyFill="1" applyBorder="1" applyAlignment="1">
      <alignment horizontal="center" vertical="center" wrapText="1"/>
    </xf>
    <xf numFmtId="0" fontId="4" fillId="16" borderId="37" xfId="0" applyFont="1" applyFill="1" applyBorder="1" applyAlignment="1">
      <alignment horizontal="center" vertical="center" wrapText="1"/>
    </xf>
    <xf numFmtId="0" fontId="4" fillId="16" borderId="23" xfId="0" applyFont="1" applyFill="1" applyBorder="1" applyAlignment="1">
      <alignment horizontal="center" vertical="center" wrapText="1"/>
    </xf>
    <xf numFmtId="0" fontId="6" fillId="0" borderId="0" xfId="0" applyFont="1" applyAlignment="1">
      <alignment horizontal="left" vertical="center" wrapText="1"/>
    </xf>
    <xf numFmtId="0" fontId="4" fillId="13" borderId="0" xfId="0" applyFont="1" applyFill="1" applyAlignment="1">
      <alignment horizontal="left" vertical="top" shrinkToFit="1"/>
    </xf>
    <xf numFmtId="0" fontId="4" fillId="13" borderId="0" xfId="0" applyFont="1" applyFill="1" applyAlignment="1">
      <alignment horizontal="left" vertical="top" wrapText="1"/>
    </xf>
    <xf numFmtId="0" fontId="4" fillId="13" borderId="41" xfId="0" applyFont="1" applyFill="1" applyBorder="1" applyAlignment="1">
      <alignment horizontal="left" vertical="top" wrapText="1"/>
    </xf>
    <xf numFmtId="0" fontId="4" fillId="13" borderId="0" xfId="0" applyFont="1" applyFill="1" applyAlignment="1">
      <alignment horizontal="center" vertical="top" shrinkToFit="1"/>
    </xf>
    <xf numFmtId="0" fontId="4" fillId="13" borderId="41" xfId="0" applyFont="1" applyFill="1" applyBorder="1" applyAlignment="1">
      <alignment horizontal="left" vertical="top" shrinkToFit="1"/>
    </xf>
    <xf numFmtId="0" fontId="20" fillId="0" borderId="0" xfId="0" applyFont="1" applyAlignment="1">
      <alignment horizontal="center" vertical="center"/>
    </xf>
    <xf numFmtId="0" fontId="4" fillId="13" borderId="42" xfId="0" applyFont="1" applyFill="1" applyBorder="1" applyAlignment="1">
      <alignment horizontal="left" vertical="top"/>
    </xf>
    <xf numFmtId="0" fontId="4" fillId="13" borderId="0" xfId="0" applyFont="1" applyFill="1" applyAlignment="1">
      <alignment horizontal="left" vertical="top"/>
    </xf>
    <xf numFmtId="0" fontId="4" fillId="0" borderId="0" xfId="0" applyFont="1" applyAlignment="1">
      <alignment horizontal="left" vertical="top" shrinkToFit="1"/>
    </xf>
    <xf numFmtId="0" fontId="4" fillId="0" borderId="41" xfId="0" applyFont="1" applyBorder="1" applyAlignment="1">
      <alignment horizontal="left" vertical="top" shrinkToFit="1"/>
    </xf>
    <xf numFmtId="0" fontId="4" fillId="13" borderId="42" xfId="0" applyFont="1" applyFill="1" applyBorder="1" applyAlignment="1">
      <alignment horizontal="left" vertical="center" shrinkToFit="1"/>
    </xf>
    <xf numFmtId="0" fontId="4" fillId="13" borderId="41" xfId="0" applyFont="1" applyFill="1" applyBorder="1" applyAlignment="1">
      <alignment horizontal="left" vertical="center" shrinkToFit="1"/>
    </xf>
    <xf numFmtId="0" fontId="4" fillId="13" borderId="42" xfId="0" applyFont="1" applyFill="1" applyBorder="1" applyAlignment="1">
      <alignment horizontal="left" vertical="top" shrinkToFit="1"/>
    </xf>
    <xf numFmtId="0" fontId="4" fillId="13" borderId="43" xfId="0" applyFont="1" applyFill="1" applyBorder="1" applyAlignment="1">
      <alignment horizontal="left" vertical="center" shrinkToFit="1"/>
    </xf>
    <xf numFmtId="0" fontId="4" fillId="13" borderId="0" xfId="0" applyFont="1" applyFill="1" applyAlignment="1">
      <alignment vertical="top" wrapText="1"/>
    </xf>
    <xf numFmtId="0" fontId="4" fillId="13" borderId="41" xfId="0" applyFont="1" applyFill="1" applyBorder="1" applyAlignment="1">
      <alignment vertical="top" wrapText="1"/>
    </xf>
    <xf numFmtId="0" fontId="4" fillId="13" borderId="0" xfId="0" applyFont="1" applyFill="1" applyAlignment="1">
      <alignment horizontal="center" vertical="center" shrinkToFit="1"/>
    </xf>
    <xf numFmtId="0" fontId="4" fillId="13" borderId="0" xfId="0" applyFont="1" applyFill="1" applyAlignment="1">
      <alignment horizontal="left" vertical="center" shrinkToFit="1"/>
    </xf>
    <xf numFmtId="0" fontId="17" fillId="0" borderId="0" xfId="0" applyFont="1" applyAlignment="1">
      <alignment horizontal="center" vertical="center"/>
    </xf>
    <xf numFmtId="0" fontId="4" fillId="13" borderId="37" xfId="0" applyFont="1" applyFill="1" applyBorder="1" applyAlignment="1">
      <alignment horizontal="left" vertical="center" shrinkToFit="1"/>
    </xf>
    <xf numFmtId="0" fontId="4" fillId="13" borderId="0" xfId="0" applyFont="1" applyFill="1" applyAlignment="1">
      <alignment horizontal="left" vertical="center"/>
    </xf>
    <xf numFmtId="0" fontId="4" fillId="13" borderId="41" xfId="0" applyFont="1" applyFill="1" applyBorder="1" applyAlignment="1">
      <alignment horizontal="left" vertical="center"/>
    </xf>
    <xf numFmtId="178" fontId="4" fillId="13" borderId="0" xfId="0" applyNumberFormat="1" applyFont="1" applyFill="1" applyAlignment="1">
      <alignment horizontal="center" vertical="center" shrinkToFit="1"/>
    </xf>
    <xf numFmtId="178" fontId="4" fillId="13" borderId="41" xfId="0" applyNumberFormat="1" applyFont="1" applyFill="1" applyBorder="1" applyAlignment="1">
      <alignment horizontal="center" vertical="center" shrinkToFit="1"/>
    </xf>
    <xf numFmtId="177" fontId="4" fillId="13" borderId="0" xfId="0" applyNumberFormat="1" applyFont="1" applyFill="1" applyAlignment="1">
      <alignment horizontal="right" vertical="top" shrinkToFit="1"/>
    </xf>
    <xf numFmtId="0" fontId="4" fillId="0" borderId="0" xfId="0" applyFont="1" applyAlignment="1">
      <alignment horizontal="center" vertical="top"/>
    </xf>
    <xf numFmtId="0" fontId="0" fillId="13" borderId="0" xfId="0" applyFill="1" applyAlignment="1">
      <alignment horizontal="left" vertical="center" wrapText="1"/>
    </xf>
    <xf numFmtId="0" fontId="0" fillId="13" borderId="41" xfId="0" applyFill="1" applyBorder="1" applyAlignment="1">
      <alignment horizontal="left" vertical="center" wrapText="1"/>
    </xf>
    <xf numFmtId="0" fontId="4" fillId="0" borderId="43" xfId="0" applyFont="1" applyBorder="1" applyAlignment="1">
      <alignment horizontal="center" vertical="center"/>
    </xf>
    <xf numFmtId="0" fontId="4" fillId="13" borderId="43" xfId="0" applyFont="1" applyFill="1" applyBorder="1" applyAlignment="1">
      <alignment vertical="center" shrinkToFit="1"/>
    </xf>
    <xf numFmtId="177" fontId="4" fillId="13" borderId="41" xfId="0" applyNumberFormat="1" applyFont="1" applyFill="1" applyBorder="1" applyAlignment="1">
      <alignment horizontal="right" vertical="center" shrinkToFit="1"/>
    </xf>
    <xf numFmtId="177" fontId="4" fillId="13" borderId="0" xfId="0" applyNumberFormat="1" applyFont="1" applyFill="1" applyAlignment="1">
      <alignment horizontal="right" vertical="center" shrinkToFit="1"/>
    </xf>
    <xf numFmtId="0" fontId="4" fillId="0" borderId="41" xfId="0" applyFont="1" applyBorder="1" applyAlignment="1">
      <alignment horizontal="left" vertical="center" shrinkToFit="1"/>
    </xf>
    <xf numFmtId="180" fontId="4" fillId="13" borderId="0" xfId="0" applyNumberFormat="1" applyFont="1" applyFill="1" applyAlignment="1">
      <alignment horizontal="right" vertical="center" shrinkToFit="1"/>
    </xf>
    <xf numFmtId="181" fontId="4" fillId="13" borderId="37" xfId="0" applyNumberFormat="1" applyFont="1" applyFill="1" applyBorder="1" applyAlignment="1">
      <alignment horizontal="left" vertical="center" shrinkToFit="1"/>
    </xf>
    <xf numFmtId="180" fontId="4" fillId="13" borderId="41" xfId="0" applyNumberFormat="1" applyFont="1" applyFill="1" applyBorder="1" applyAlignment="1">
      <alignment horizontal="right" vertical="center" shrinkToFit="1"/>
    </xf>
    <xf numFmtId="178" fontId="4" fillId="13" borderId="0" xfId="0" applyNumberFormat="1" applyFont="1" applyFill="1" applyAlignment="1">
      <alignment horizontal="right" vertical="center" shrinkToFit="1"/>
    </xf>
    <xf numFmtId="181" fontId="4" fillId="13" borderId="41" xfId="0" applyNumberFormat="1" applyFont="1" applyFill="1" applyBorder="1" applyAlignment="1">
      <alignment horizontal="left" vertical="center" shrinkToFit="1"/>
    </xf>
    <xf numFmtId="0" fontId="4" fillId="13" borderId="41" xfId="0" applyFont="1" applyFill="1" applyBorder="1" applyAlignment="1">
      <alignment horizontal="center" vertical="center" shrinkToFit="1"/>
    </xf>
    <xf numFmtId="0" fontId="4" fillId="13" borderId="43" xfId="0" applyFont="1" applyFill="1" applyBorder="1" applyAlignment="1">
      <alignment horizontal="left" vertical="top" wrapText="1"/>
    </xf>
    <xf numFmtId="0" fontId="4" fillId="13" borderId="43" xfId="0" applyFont="1" applyFill="1" applyBorder="1" applyAlignment="1">
      <alignment horizontal="left" vertical="top"/>
    </xf>
    <xf numFmtId="181" fontId="4" fillId="13" borderId="0" xfId="0" applyNumberFormat="1" applyFont="1" applyFill="1" applyAlignment="1">
      <alignment horizontal="left" vertical="center" shrinkToFit="1"/>
    </xf>
    <xf numFmtId="0" fontId="0" fillId="0" borderId="0" xfId="0" applyAlignment="1">
      <alignment horizontal="center" vertical="center"/>
    </xf>
    <xf numFmtId="0" fontId="5" fillId="0" borderId="0" xfId="0" applyFont="1" applyAlignment="1">
      <alignment vertical="center" wrapText="1"/>
    </xf>
    <xf numFmtId="0" fontId="5" fillId="0" borderId="0" xfId="0" applyFont="1">
      <alignment vertical="center"/>
    </xf>
    <xf numFmtId="0" fontId="12" fillId="0" borderId="0" xfId="0" applyFont="1" applyAlignment="1">
      <alignment horizontal="left" vertical="center" wrapText="1"/>
    </xf>
    <xf numFmtId="0" fontId="12" fillId="11" borderId="0" xfId="0" applyFont="1" applyFill="1" applyAlignment="1">
      <alignment horizontal="center" vertical="center"/>
    </xf>
    <xf numFmtId="0" fontId="12" fillId="13" borderId="0" xfId="0" applyFont="1" applyFill="1" applyAlignment="1">
      <alignment horizontal="left" vertical="top" shrinkToFit="1"/>
    </xf>
    <xf numFmtId="0" fontId="12" fillId="0" borderId="0" xfId="0" applyFont="1" applyAlignment="1">
      <alignment horizontal="left" vertical="center"/>
    </xf>
    <xf numFmtId="0" fontId="12" fillId="13" borderId="0" xfId="0" applyFont="1" applyFill="1" applyAlignment="1">
      <alignment horizontal="left" vertical="center"/>
    </xf>
    <xf numFmtId="0" fontId="12" fillId="13" borderId="0" xfId="0" applyFont="1" applyFill="1" applyAlignment="1">
      <alignment horizontal="center" vertical="top" shrinkToFit="1"/>
    </xf>
    <xf numFmtId="0" fontId="27" fillId="0" borderId="0" xfId="0" applyFont="1" applyAlignment="1">
      <alignment horizontal="center" vertical="center"/>
    </xf>
    <xf numFmtId="0" fontId="12" fillId="13" borderId="0" xfId="0" applyFont="1" applyFill="1" applyAlignment="1">
      <alignment horizontal="left" vertical="center" shrinkToFit="1"/>
    </xf>
    <xf numFmtId="0" fontId="12" fillId="13" borderId="0" xfId="3" applyFont="1" applyFill="1" applyAlignment="1">
      <alignment horizontal="left" vertical="top" shrinkToFit="1"/>
    </xf>
    <xf numFmtId="0" fontId="12" fillId="0" borderId="0" xfId="3" applyFont="1" applyAlignment="1">
      <alignment horizontal="left" vertical="center" wrapText="1"/>
    </xf>
    <xf numFmtId="0" fontId="27" fillId="0" borderId="0" xfId="3" applyFont="1" applyAlignment="1">
      <alignment horizontal="center" vertical="center"/>
    </xf>
    <xf numFmtId="0" fontId="12" fillId="11" borderId="0" xfId="3" applyFont="1" applyFill="1" applyAlignment="1">
      <alignment horizontal="center" vertical="top" shrinkToFit="1"/>
    </xf>
    <xf numFmtId="0" fontId="12" fillId="11" borderId="0" xfId="3" applyFont="1" applyFill="1" applyAlignment="1">
      <alignment horizontal="center" vertical="center"/>
    </xf>
    <xf numFmtId="0" fontId="12" fillId="0" borderId="0" xfId="3" applyFont="1" applyAlignment="1">
      <alignment horizontal="left" vertical="center"/>
    </xf>
    <xf numFmtId="0" fontId="12" fillId="13" borderId="0" xfId="3" applyFont="1" applyFill="1" applyAlignment="1">
      <alignment horizontal="left" vertical="center" shrinkToFit="1"/>
    </xf>
    <xf numFmtId="0" fontId="6" fillId="0" borderId="12" xfId="0" applyFont="1" applyFill="1" applyBorder="1" applyAlignment="1" applyProtection="1">
      <alignment horizontal="center" vertical="center"/>
    </xf>
    <xf numFmtId="0" fontId="6" fillId="0" borderId="41" xfId="0" applyFont="1" applyFill="1" applyBorder="1" applyProtection="1">
      <alignment vertical="center"/>
    </xf>
    <xf numFmtId="0" fontId="6" fillId="0" borderId="0" xfId="0" applyFont="1" applyFill="1" applyProtection="1">
      <alignment vertical="center"/>
    </xf>
    <xf numFmtId="0" fontId="6" fillId="0" borderId="37" xfId="0" applyFont="1" applyFill="1" applyBorder="1" applyProtection="1">
      <alignment vertical="center"/>
    </xf>
    <xf numFmtId="0" fontId="6" fillId="0" borderId="1" xfId="0" applyFont="1" applyFill="1" applyBorder="1" applyAlignment="1" applyProtection="1">
      <alignment horizontal="center" vertical="center"/>
    </xf>
  </cellXfs>
  <cellStyles count="5">
    <cellStyle name="ハイパーリンク" xfId="1" builtinId="8"/>
    <cellStyle name="標準" xfId="0" builtinId="0"/>
    <cellStyle name="標準 2" xfId="2" xr:uid="{00000000-0005-0000-0000-00002F000000}"/>
    <cellStyle name="標準 3" xfId="3" xr:uid="{00000000-0005-0000-0000-000030000000}"/>
    <cellStyle name="標準 51" xfId="4" xr:uid="{00000000-0005-0000-0000-000031000000}"/>
  </cellStyles>
  <dxfs count="20">
    <dxf>
      <fill>
        <patternFill>
          <bgColor rgb="FF99CCFF"/>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xdr:col>
      <xdr:colOff>495542</xdr:colOff>
      <xdr:row>17</xdr:row>
      <xdr:rowOff>76349</xdr:rowOff>
    </xdr:from>
    <xdr:to>
      <xdr:col>8</xdr:col>
      <xdr:colOff>247408</xdr:colOff>
      <xdr:row>21</xdr:row>
      <xdr:rowOff>123899</xdr:rowOff>
    </xdr:to>
    <xdr:sp macro="" textlink="">
      <xdr:nvSpPr>
        <xdr:cNvPr id="3" name="大かっこ 2">
          <a:extLst>
            <a:ext uri="{FF2B5EF4-FFF2-40B4-BE49-F238E27FC236}">
              <a16:creationId xmlns:a16="http://schemas.microsoft.com/office/drawing/2014/main" id="{22FFCF83-A134-0588-41AA-CA7E382894C1}"/>
            </a:ext>
          </a:extLst>
        </xdr:cNvPr>
        <xdr:cNvSpPr/>
      </xdr:nvSpPr>
      <xdr:spPr>
        <a:xfrm>
          <a:off x="3238500" y="3048000"/>
          <a:ext cx="2495550" cy="733425"/>
        </a:xfrm>
        <a:prstGeom prst="bracketPair">
          <a:avLst/>
        </a:prstGeom>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9544</xdr:colOff>
      <xdr:row>19</xdr:row>
      <xdr:rowOff>0</xdr:rowOff>
    </xdr:from>
    <xdr:to>
      <xdr:col>107</xdr:col>
      <xdr:colOff>47606</xdr:colOff>
      <xdr:row>19</xdr:row>
      <xdr:rowOff>0</xdr:rowOff>
    </xdr:to>
    <xdr:sp macro="" textlink="">
      <xdr:nvSpPr>
        <xdr:cNvPr id="2" name="Picture 1">
          <a:extLst>
            <a:ext uri="{FF2B5EF4-FFF2-40B4-BE49-F238E27FC236}">
              <a16:creationId xmlns:a16="http://schemas.microsoft.com/office/drawing/2014/main" id="{00000000-0008-0000-1400-000002000000}"/>
            </a:ext>
          </a:extLst>
        </xdr:cNvPr>
        <xdr:cNvSpPr/>
      </xdr:nvSpPr>
      <xdr:spPr>
        <a:xfrm>
          <a:off x="66675" y="3219450"/>
          <a:ext cx="6096000" cy="0"/>
        </a:xfrm>
        <a:prstGeom prst="line">
          <a:avLst/>
        </a:prstGeom>
        <a:ln w="9525">
          <a:solidFill>
            <a:srgbClr val="000000"/>
          </a:solidFill>
        </a:ln>
      </xdr:spPr>
      <xdr:txBody>
        <a:bodyPr vertOverflow="clip" horzOverflow="clip"/>
        <a:lstStyle/>
        <a:p>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P34"/>
  <sheetViews>
    <sheetView workbookViewId="0">
      <pane xSplit="1" ySplit="2" topLeftCell="B3" activePane="bottomRight" state="frozen"/>
      <selection pane="topRight"/>
      <selection pane="bottomLeft"/>
      <selection pane="bottomRight"/>
    </sheetView>
  </sheetViews>
  <sheetFormatPr defaultColWidth="9" defaultRowHeight="14.25" customHeight="1" x14ac:dyDescent="0.15"/>
  <cols>
    <col min="1" max="1" width="28.25" style="12" customWidth="1"/>
    <col min="2" max="2" width="23.375" style="12" customWidth="1"/>
    <col min="3" max="3" width="16.75" style="12" customWidth="1"/>
    <col min="4" max="5" width="3.625" style="10" customWidth="1"/>
    <col min="6" max="8" width="10.625" style="10" customWidth="1"/>
    <col min="9" max="9" width="9" style="10" customWidth="1"/>
    <col min="10" max="16384" width="9" style="10"/>
  </cols>
  <sheetData>
    <row r="1" spans="1:16" ht="63.75" customHeight="1" x14ac:dyDescent="0.15">
      <c r="A1" s="11" t="s">
        <v>458</v>
      </c>
      <c r="B1" s="11" t="s">
        <v>461</v>
      </c>
      <c r="C1" s="11" t="s">
        <v>460</v>
      </c>
      <c r="D1" s="524" t="s">
        <v>2556</v>
      </c>
      <c r="E1" s="524"/>
      <c r="F1" s="185" t="s">
        <v>2555</v>
      </c>
      <c r="G1" s="10" t="s">
        <v>482</v>
      </c>
      <c r="H1" s="10" t="s">
        <v>3057</v>
      </c>
      <c r="I1" s="10" t="s">
        <v>3175</v>
      </c>
      <c r="J1" s="10" t="s">
        <v>3111</v>
      </c>
      <c r="K1" s="10" t="s">
        <v>3176</v>
      </c>
      <c r="L1" s="10" t="s">
        <v>3177</v>
      </c>
      <c r="M1" s="10" t="s">
        <v>3178</v>
      </c>
      <c r="N1" s="10" t="s">
        <v>3179</v>
      </c>
      <c r="O1" s="10" t="s">
        <v>3201</v>
      </c>
      <c r="P1" s="10" t="s">
        <v>3290</v>
      </c>
    </row>
    <row r="2" spans="1:16" ht="14.25" customHeight="1" x14ac:dyDescent="0.15">
      <c r="G2" s="185">
        <f t="shared" ref="G2:N2" si="0">IF(cst__output_sheetname=G1, 1, 0)</f>
        <v>0</v>
      </c>
      <c r="H2" s="185">
        <f t="shared" si="0"/>
        <v>0</v>
      </c>
      <c r="I2" s="185">
        <f t="shared" si="0"/>
        <v>0</v>
      </c>
      <c r="J2" s="185">
        <f t="shared" si="0"/>
        <v>0</v>
      </c>
      <c r="K2" s="185">
        <f t="shared" si="0"/>
        <v>0</v>
      </c>
      <c r="L2" s="185">
        <f t="shared" si="0"/>
        <v>0</v>
      </c>
      <c r="M2" s="185">
        <f t="shared" si="0"/>
        <v>0</v>
      </c>
      <c r="N2" s="185">
        <f t="shared" si="0"/>
        <v>1</v>
      </c>
      <c r="O2" s="185">
        <f t="shared" ref="O2:P2" si="1">IF(cst__output_sheetname=O1, 1, 0)</f>
        <v>0</v>
      </c>
      <c r="P2" s="185">
        <f t="shared" si="1"/>
        <v>0</v>
      </c>
    </row>
    <row r="4" spans="1:16" ht="14.25" customHeight="1" x14ac:dyDescent="0.15">
      <c r="A4" s="12" t="s">
        <v>2574</v>
      </c>
      <c r="B4" s="12">
        <v>-2</v>
      </c>
      <c r="C4" s="12">
        <v>-2</v>
      </c>
    </row>
    <row r="5" spans="1:16" ht="14.25" customHeight="1" x14ac:dyDescent="0.15">
      <c r="A5" s="12" t="s">
        <v>462</v>
      </c>
      <c r="B5" s="12">
        <v>-2</v>
      </c>
      <c r="C5" s="12">
        <v>-2</v>
      </c>
    </row>
    <row r="6" spans="1:16" ht="14.25" customHeight="1" x14ac:dyDescent="0.15">
      <c r="A6" s="12" t="s">
        <v>463</v>
      </c>
      <c r="B6" s="12">
        <v>-2</v>
      </c>
      <c r="C6" s="12">
        <v>-2</v>
      </c>
    </row>
    <row r="7" spans="1:16" ht="14.25" customHeight="1" x14ac:dyDescent="0.15">
      <c r="A7" s="12" t="s">
        <v>3289</v>
      </c>
      <c r="B7" s="12">
        <v>-2</v>
      </c>
      <c r="C7" s="12">
        <v>-2</v>
      </c>
    </row>
    <row r="8" spans="1:16" ht="14.25" customHeight="1" x14ac:dyDescent="0.15">
      <c r="A8" s="12" t="s">
        <v>1363</v>
      </c>
      <c r="B8" s="12">
        <v>-2</v>
      </c>
      <c r="C8" s="12">
        <v>-2</v>
      </c>
    </row>
    <row r="9" spans="1:16" ht="14.25" customHeight="1" x14ac:dyDescent="0.15">
      <c r="A9" s="12" t="s">
        <v>2878</v>
      </c>
      <c r="B9" s="12">
        <v>-2</v>
      </c>
      <c r="C9" s="12">
        <v>-2</v>
      </c>
    </row>
    <row r="10" spans="1:16" ht="14.25" customHeight="1" x14ac:dyDescent="0.15">
      <c r="A10" s="12" t="s">
        <v>464</v>
      </c>
      <c r="B10" s="12">
        <v>-2</v>
      </c>
      <c r="C10" s="12">
        <v>-2</v>
      </c>
    </row>
    <row r="11" spans="1:16" ht="14.25" customHeight="1" x14ac:dyDescent="0.15">
      <c r="A11" s="12" t="s">
        <v>2852</v>
      </c>
      <c r="B11" s="12">
        <v>-2</v>
      </c>
      <c r="C11" s="12">
        <v>-2</v>
      </c>
    </row>
    <row r="12" spans="1:16" ht="14.25" customHeight="1" x14ac:dyDescent="0.15">
      <c r="A12" s="12" t="s">
        <v>2853</v>
      </c>
      <c r="B12" s="12">
        <v>-2</v>
      </c>
      <c r="C12" s="12">
        <v>-2</v>
      </c>
    </row>
    <row r="14" spans="1:16" ht="14.25" customHeight="1" x14ac:dyDescent="0.15">
      <c r="A14" s="12" t="s">
        <v>435</v>
      </c>
      <c r="B14" s="12">
        <f t="shared" ref="B14:B27" si="2">D14</f>
        <v>1</v>
      </c>
      <c r="D14" s="10">
        <f>IF(F14&lt;&gt;"",IF(F14=1,IF(F14+E14=2,1,-2),F14),IF(E14=0,-2,E14))</f>
        <v>1</v>
      </c>
      <c r="E14" s="10">
        <v>1</v>
      </c>
      <c r="F14" s="185">
        <v>1</v>
      </c>
      <c r="G14" s="10">
        <v>1</v>
      </c>
      <c r="H14" s="10">
        <v>1</v>
      </c>
    </row>
    <row r="15" spans="1:16" ht="14.25" customHeight="1" x14ac:dyDescent="0.15">
      <c r="B15" s="12">
        <f t="shared" si="2"/>
        <v>-2</v>
      </c>
      <c r="D15" s="10">
        <f t="shared" ref="D15:D20" si="3">IF(F15&lt;&gt;"",IF(F15=1,IF(F15+E15=2,1,-2),F15),IF(E15=0,-2,E15))</f>
        <v>-2</v>
      </c>
      <c r="E15" s="10">
        <f t="shared" ref="E15:E28" si="4">IF(cst__output_sheetname="", 1, 0)+IF(AND(H15=1,H$2=1), 1, 0)+IF(AND(G15=1,G$2=1), 1, 0)+IF(AND(H15=1,H$2=1), 1, 0)+IF(AND(I15=1,I$2=1), 1, 0)+IF(AND(J15=1,J$2=1), 1, 0)+IF(AND(K15=1,K$2=1), 1, 0)+IF(AND(L15=1,L$2=1), 1, 0)+IF(AND(M15=1,M$2=1), 1, 0)+IF(AND(N15=1,N$2=1), 1, 0)+IF(AND(O15=1,O$2=1), 1, 0)+IF(AND(P15=1,P$2=1), 1, 0)</f>
        <v>0</v>
      </c>
    </row>
    <row r="16" spans="1:16" ht="14.25" customHeight="1" x14ac:dyDescent="0.15">
      <c r="A16" s="331" t="s">
        <v>482</v>
      </c>
      <c r="B16" s="12">
        <f t="shared" si="2"/>
        <v>-2</v>
      </c>
      <c r="D16" s="10">
        <f t="shared" si="3"/>
        <v>-2</v>
      </c>
      <c r="E16" s="10">
        <f t="shared" si="4"/>
        <v>0</v>
      </c>
      <c r="G16" s="10">
        <v>1</v>
      </c>
    </row>
    <row r="17" spans="1:16" ht="14.25" customHeight="1" x14ac:dyDescent="0.15">
      <c r="A17" s="331" t="s">
        <v>3292</v>
      </c>
      <c r="B17" s="12">
        <f t="shared" ref="B17" si="5">D17</f>
        <v>-2</v>
      </c>
      <c r="D17" s="10">
        <f t="shared" ref="D17" si="6">IF(F17&lt;&gt;"",IF(F17=1,IF(F17+E17=2,1,-2),F17),IF(E17=0,-2,E17))</f>
        <v>-2</v>
      </c>
      <c r="E17" s="10">
        <f t="shared" ref="E17" si="7">IF(cst__output_sheetname="", 1, 0)+IF(AND(H17=1,H$2=1), 1, 0)+IF(AND(G17=1,G$2=1), 1, 0)+IF(AND(H17=1,H$2=1), 1, 0)+IF(AND(I17=1,I$2=1), 1, 0)+IF(AND(J17=1,J$2=1), 1, 0)+IF(AND(K17=1,K$2=1), 1, 0)+IF(AND(L17=1,L$2=1), 1, 0)+IF(AND(M17=1,M$2=1), 1, 0)+IF(AND(N17=1,N$2=1), 1, 0)+IF(AND(O17=1,O$2=1), 1, 0)+IF(AND(P17=1,P$2=1), 1, 0)</f>
        <v>0</v>
      </c>
      <c r="G17" s="10">
        <v>1</v>
      </c>
    </row>
    <row r="18" spans="1:16" ht="14.25" customHeight="1" x14ac:dyDescent="0.15">
      <c r="A18" s="331" t="s">
        <v>2854</v>
      </c>
      <c r="B18" s="12">
        <f t="shared" si="2"/>
        <v>-2</v>
      </c>
      <c r="D18" s="10">
        <f t="shared" si="3"/>
        <v>-2</v>
      </c>
      <c r="E18" s="10">
        <f t="shared" si="4"/>
        <v>0</v>
      </c>
      <c r="F18" s="185" t="str">
        <f>IF(wsjob_TARGET_KIND=1,"",0)</f>
        <v/>
      </c>
      <c r="H18" s="10">
        <v>1</v>
      </c>
    </row>
    <row r="19" spans="1:16" ht="14.25" customHeight="1" x14ac:dyDescent="0.15">
      <c r="A19" s="331" t="s">
        <v>2855</v>
      </c>
      <c r="B19" s="12">
        <f t="shared" si="2"/>
        <v>-2</v>
      </c>
      <c r="D19" s="10">
        <f t="shared" si="3"/>
        <v>-2</v>
      </c>
      <c r="E19" s="10">
        <f t="shared" si="4"/>
        <v>0</v>
      </c>
      <c r="F19" s="185" t="str">
        <f>IF(wsjob_TARGET_KIND=1,"",0)</f>
        <v/>
      </c>
      <c r="H19" s="10">
        <v>1</v>
      </c>
    </row>
    <row r="20" spans="1:16" ht="14.25" customHeight="1" x14ac:dyDescent="0.15">
      <c r="A20" s="331" t="s">
        <v>2856</v>
      </c>
      <c r="B20" s="12">
        <f t="shared" si="2"/>
        <v>-2</v>
      </c>
      <c r="D20" s="10">
        <f t="shared" si="3"/>
        <v>-2</v>
      </c>
      <c r="E20" s="10">
        <f t="shared" si="4"/>
        <v>0</v>
      </c>
      <c r="F20" s="185" t="str">
        <f>IF(wsjob_TARGET_KIND=1,"",0)</f>
        <v/>
      </c>
      <c r="H20" s="10">
        <v>1</v>
      </c>
    </row>
    <row r="21" spans="1:16" ht="14.25" customHeight="1" x14ac:dyDescent="0.15">
      <c r="A21" s="331" t="s">
        <v>3175</v>
      </c>
      <c r="B21" s="12">
        <f t="shared" si="2"/>
        <v>-2</v>
      </c>
      <c r="D21" s="10">
        <f t="shared" ref="D21:D26" si="8">IF(F21&lt;&gt;"",IF(F21=1,IF(F21+E21=2,1,-2),F21),IF(E21=0,-2,E21))</f>
        <v>-2</v>
      </c>
      <c r="E21" s="10">
        <f t="shared" si="4"/>
        <v>0</v>
      </c>
      <c r="F21" s="185"/>
      <c r="I21" s="10">
        <v>1</v>
      </c>
    </row>
    <row r="22" spans="1:16" ht="14.25" customHeight="1" x14ac:dyDescent="0.15">
      <c r="A22" s="331" t="s">
        <v>3111</v>
      </c>
      <c r="B22" s="12">
        <f>D22</f>
        <v>-2</v>
      </c>
      <c r="D22" s="10">
        <f>IF(F22&lt;&gt;"",IF(F22=1,IF(F22+E22=2,1,-2),F22),IF(E22=0,-2,E22))</f>
        <v>-2</v>
      </c>
      <c r="E22" s="10">
        <f t="shared" si="4"/>
        <v>0</v>
      </c>
      <c r="F22" s="185"/>
      <c r="J22" s="10">
        <v>1</v>
      </c>
    </row>
    <row r="23" spans="1:16" ht="14.25" customHeight="1" x14ac:dyDescent="0.15">
      <c r="A23" s="331" t="s">
        <v>3176</v>
      </c>
      <c r="B23" s="12">
        <f t="shared" si="2"/>
        <v>-2</v>
      </c>
      <c r="D23" s="10">
        <f t="shared" si="8"/>
        <v>-2</v>
      </c>
      <c r="E23" s="10">
        <f t="shared" si="4"/>
        <v>0</v>
      </c>
      <c r="F23" s="185"/>
      <c r="K23" s="10">
        <v>1</v>
      </c>
    </row>
    <row r="24" spans="1:16" ht="14.25" customHeight="1" x14ac:dyDescent="0.15">
      <c r="A24" s="331" t="s">
        <v>3177</v>
      </c>
      <c r="B24" s="12">
        <f t="shared" si="2"/>
        <v>-2</v>
      </c>
      <c r="D24" s="10">
        <f t="shared" si="8"/>
        <v>-2</v>
      </c>
      <c r="E24" s="10">
        <f t="shared" si="4"/>
        <v>0</v>
      </c>
      <c r="F24" s="185"/>
      <c r="L24" s="10">
        <v>1</v>
      </c>
    </row>
    <row r="25" spans="1:16" ht="14.25" customHeight="1" x14ac:dyDescent="0.15">
      <c r="A25" s="331" t="s">
        <v>3178</v>
      </c>
      <c r="B25" s="12">
        <f t="shared" si="2"/>
        <v>-2</v>
      </c>
      <c r="D25" s="10">
        <f t="shared" si="8"/>
        <v>-2</v>
      </c>
      <c r="E25" s="10">
        <f t="shared" si="4"/>
        <v>0</v>
      </c>
      <c r="F25" s="185"/>
      <c r="M25" s="10">
        <v>1</v>
      </c>
    </row>
    <row r="26" spans="1:16" ht="14.25" customHeight="1" x14ac:dyDescent="0.15">
      <c r="A26" s="331" t="s">
        <v>3179</v>
      </c>
      <c r="B26" s="12">
        <f t="shared" si="2"/>
        <v>1</v>
      </c>
      <c r="D26" s="10">
        <f t="shared" si="8"/>
        <v>1</v>
      </c>
      <c r="E26" s="10">
        <f t="shared" si="4"/>
        <v>1</v>
      </c>
      <c r="F26" s="185"/>
      <c r="N26" s="10">
        <v>1</v>
      </c>
    </row>
    <row r="27" spans="1:16" ht="14.25" customHeight="1" x14ac:dyDescent="0.15">
      <c r="A27" s="331" t="s">
        <v>3201</v>
      </c>
      <c r="B27" s="12">
        <f t="shared" si="2"/>
        <v>-2</v>
      </c>
      <c r="D27" s="10">
        <f t="shared" ref="D27" si="9">IF(F27&lt;&gt;"",IF(F27=1,IF(F27+E27=2,1,-2),F27),IF(E27=0,-2,E27))</f>
        <v>-2</v>
      </c>
      <c r="E27" s="10">
        <f t="shared" si="4"/>
        <v>0</v>
      </c>
      <c r="F27" s="185"/>
      <c r="O27" s="10">
        <v>1</v>
      </c>
    </row>
    <row r="28" spans="1:16" ht="14.25" customHeight="1" x14ac:dyDescent="0.15">
      <c r="A28" s="331" t="s">
        <v>3290</v>
      </c>
      <c r="B28" s="12">
        <f t="shared" ref="B28" si="10">D28</f>
        <v>-2</v>
      </c>
      <c r="D28" s="10">
        <f t="shared" ref="D28" si="11">IF(F28&lt;&gt;"",IF(F28=1,IF(F28+E28=2,1,-2),F28),IF(E28=0,-2,E28))</f>
        <v>-2</v>
      </c>
      <c r="E28" s="10">
        <f t="shared" si="4"/>
        <v>0</v>
      </c>
      <c r="F28" s="185"/>
      <c r="P28" s="10">
        <v>1</v>
      </c>
    </row>
    <row r="30" spans="1:16" ht="14.25" customHeight="1" x14ac:dyDescent="0.15">
      <c r="B30" s="12">
        <f>D30</f>
        <v>0</v>
      </c>
    </row>
    <row r="31" spans="1:16" ht="14.25" customHeight="1" x14ac:dyDescent="0.15">
      <c r="A31" s="61" t="s">
        <v>465</v>
      </c>
      <c r="B31" s="12">
        <v>0</v>
      </c>
    </row>
    <row r="33" spans="1:1" ht="14.25" customHeight="1" x14ac:dyDescent="0.15">
      <c r="A33" s="13" t="s">
        <v>459</v>
      </c>
    </row>
    <row r="34" spans="1:1" ht="14.25" customHeight="1" x14ac:dyDescent="0.15">
      <c r="A34" s="13" t="s">
        <v>466</v>
      </c>
    </row>
  </sheetData>
  <mergeCells count="1">
    <mergeCell ref="D1:E1"/>
  </mergeCells>
  <phoneticPr fontId="32"/>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125"/>
  <sheetViews>
    <sheetView zoomScaleNormal="100" zoomScaleSheetLayoutView="100" workbookViewId="0"/>
  </sheetViews>
  <sheetFormatPr defaultColWidth="9" defaultRowHeight="12" x14ac:dyDescent="0.15"/>
  <cols>
    <col min="1" max="27" width="3.125" style="330" customWidth="1"/>
    <col min="28" max="28" width="1.75" style="330" customWidth="1"/>
    <col min="29" max="29" width="9" style="330" customWidth="1"/>
    <col min="30" max="30" width="10.25" style="330" bestFit="1" customWidth="1"/>
    <col min="31" max="31" width="14.125" style="330" bestFit="1" customWidth="1"/>
    <col min="32" max="32" width="9" style="330" customWidth="1"/>
    <col min="33" max="16384" width="9" style="330"/>
  </cols>
  <sheetData>
    <row r="1" spans="1:27" ht="6" customHeight="1" x14ac:dyDescent="0.15"/>
    <row r="2" spans="1:27" x14ac:dyDescent="0.15">
      <c r="A2" s="330" t="s">
        <v>2984</v>
      </c>
    </row>
    <row r="4" spans="1:27" x14ac:dyDescent="0.15">
      <c r="A4" s="576" t="s">
        <v>2985</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row>
    <row r="5" spans="1:27" ht="30.75" customHeight="1" x14ac:dyDescent="0.15">
      <c r="A5" s="577" t="s">
        <v>482</v>
      </c>
      <c r="B5" s="577"/>
      <c r="C5" s="577"/>
      <c r="D5" s="577"/>
      <c r="E5" s="577"/>
      <c r="F5" s="577"/>
      <c r="G5" s="577"/>
      <c r="H5" s="577"/>
      <c r="I5" s="577"/>
      <c r="J5" s="577"/>
      <c r="K5" s="577"/>
      <c r="L5" s="577"/>
      <c r="M5" s="577"/>
      <c r="N5" s="577"/>
      <c r="O5" s="577"/>
      <c r="P5" s="577"/>
      <c r="Q5" s="577"/>
      <c r="R5" s="577"/>
      <c r="S5" s="578"/>
      <c r="T5" s="578"/>
      <c r="U5" s="578"/>
      <c r="V5" s="578"/>
      <c r="W5" s="578"/>
      <c r="X5" s="578"/>
      <c r="Y5" s="578"/>
      <c r="Z5" s="578"/>
      <c r="AA5" s="578"/>
    </row>
    <row r="6" spans="1:27" x14ac:dyDescent="0.15">
      <c r="A6" s="576" t="s">
        <v>4</v>
      </c>
      <c r="B6" s="576"/>
      <c r="C6" s="576"/>
      <c r="D6" s="576"/>
      <c r="E6" s="576"/>
      <c r="F6" s="576"/>
      <c r="G6" s="576"/>
      <c r="H6" s="576"/>
      <c r="I6" s="576"/>
      <c r="J6" s="576"/>
      <c r="K6" s="576"/>
      <c r="L6" s="576"/>
      <c r="M6" s="576"/>
      <c r="N6" s="576"/>
      <c r="O6" s="576"/>
      <c r="P6" s="576"/>
      <c r="Q6" s="576"/>
      <c r="R6" s="576"/>
      <c r="S6" s="573"/>
      <c r="T6" s="573"/>
      <c r="U6" s="573"/>
      <c r="V6" s="573"/>
      <c r="W6" s="573"/>
      <c r="X6" s="573"/>
      <c r="Y6" s="573"/>
      <c r="Z6" s="573"/>
      <c r="AA6" s="573"/>
    </row>
    <row r="8" spans="1:27" ht="18.75" customHeight="1" x14ac:dyDescent="0.15">
      <c r="S8" s="560" t="str">
        <f ca="1">IF(wskakunin_SHINSEI_DATE="",TEXT(TODAY(),"ggg"),wskakunin_SHINSEI_DATE)</f>
        <v>令和</v>
      </c>
      <c r="T8" s="560"/>
      <c r="U8" s="344" t="str">
        <f>cst_wskakunin_SHINSEI_DATE__e</f>
        <v/>
      </c>
      <c r="V8" s="330" t="s">
        <v>436</v>
      </c>
      <c r="W8" s="344" t="str">
        <f>cst_wskakunin_SHINSEI_DATE__month</f>
        <v/>
      </c>
      <c r="X8" s="330" t="s">
        <v>0</v>
      </c>
      <c r="Y8" s="344" t="str">
        <f>cst_wskakunin_SHINSEI_DATE__day</f>
        <v/>
      </c>
      <c r="Z8" s="330" t="s">
        <v>437</v>
      </c>
    </row>
    <row r="9" spans="1:27" ht="15.75" customHeight="1" x14ac:dyDescent="0.15"/>
    <row r="10" spans="1:27" ht="18" customHeight="1" x14ac:dyDescent="0.15">
      <c r="A10" s="242"/>
      <c r="B10" s="579" t="str">
        <f>cst_wskakunin_BUILD_KEN__ken</f>
        <v>香川県</v>
      </c>
      <c r="C10" s="580"/>
      <c r="D10" s="580"/>
      <c r="E10" s="580"/>
      <c r="F10" s="242" t="s">
        <v>2986</v>
      </c>
      <c r="G10" s="242"/>
      <c r="H10" s="242"/>
      <c r="I10" s="242"/>
      <c r="J10" s="242"/>
      <c r="K10" s="242"/>
      <c r="L10" s="242"/>
      <c r="M10" s="242"/>
      <c r="N10" s="242"/>
      <c r="O10" s="242"/>
      <c r="P10" s="242"/>
      <c r="Q10" s="242"/>
      <c r="R10" s="242"/>
      <c r="S10" s="242"/>
      <c r="T10" s="242"/>
      <c r="U10" s="242"/>
      <c r="V10" s="242"/>
      <c r="W10" s="242"/>
      <c r="X10" s="242"/>
      <c r="Y10" s="242"/>
      <c r="Z10" s="242"/>
      <c r="AA10" s="242"/>
    </row>
    <row r="11" spans="1:27" ht="18" customHeight="1" x14ac:dyDescent="0.15">
      <c r="A11" s="330" t="s">
        <v>89</v>
      </c>
    </row>
    <row r="12" spans="1:27" ht="36" customHeight="1" x14ac:dyDescent="0.15">
      <c r="B12" s="573" t="s">
        <v>92</v>
      </c>
      <c r="C12" s="573"/>
      <c r="D12" s="573"/>
      <c r="E12" s="574" t="str">
        <f>cst_wskakunin_owner1__space3</f>
        <v>三木　章史</v>
      </c>
      <c r="F12" s="574"/>
      <c r="G12" s="574"/>
      <c r="H12" s="574"/>
      <c r="I12" s="574"/>
      <c r="J12" s="574"/>
      <c r="K12" s="574"/>
      <c r="L12" s="574"/>
      <c r="M12" s="574"/>
      <c r="N12" s="574"/>
      <c r="O12" s="574"/>
      <c r="P12" s="574"/>
      <c r="Q12" s="574"/>
      <c r="R12" s="574"/>
      <c r="S12" s="574"/>
      <c r="T12" s="574"/>
      <c r="U12" s="574"/>
      <c r="V12" s="574"/>
      <c r="W12" s="574"/>
      <c r="X12" s="574"/>
      <c r="Y12" s="574"/>
      <c r="Z12" s="574"/>
    </row>
    <row r="13" spans="1:27" ht="18" customHeight="1" x14ac:dyDescent="0.15">
      <c r="B13" s="330" t="s">
        <v>5</v>
      </c>
      <c r="E13" s="566" t="str">
        <f>cst_wskakunin_owner1_ZIP</f>
        <v>763-0094</v>
      </c>
      <c r="F13" s="567"/>
      <c r="G13" s="567"/>
      <c r="H13" s="567"/>
      <c r="I13" s="567"/>
      <c r="J13" s="567"/>
    </row>
    <row r="14" spans="1:27" ht="18" customHeight="1" x14ac:dyDescent="0.15">
      <c r="B14" s="330" t="s">
        <v>6</v>
      </c>
      <c r="E14" s="566" t="str">
        <f>cst_wskakunin_owner1__address</f>
        <v>香川県丸亀市三条町1206番地1　キッシングラミーC棟201号</v>
      </c>
      <c r="F14" s="572"/>
      <c r="G14" s="572"/>
      <c r="H14" s="572"/>
      <c r="I14" s="572"/>
      <c r="J14" s="572"/>
      <c r="K14" s="572"/>
      <c r="L14" s="572"/>
      <c r="M14" s="572"/>
      <c r="N14" s="572"/>
      <c r="O14" s="572"/>
      <c r="P14" s="572"/>
      <c r="Q14" s="572"/>
      <c r="R14" s="572"/>
      <c r="S14" s="572"/>
      <c r="T14" s="572"/>
      <c r="U14" s="572"/>
      <c r="V14" s="572"/>
      <c r="W14" s="572"/>
      <c r="X14" s="568"/>
      <c r="Y14" s="568"/>
      <c r="Z14" s="568"/>
      <c r="AA14" s="567"/>
    </row>
    <row r="15" spans="1:27" ht="18" customHeight="1" x14ac:dyDescent="0.15">
      <c r="A15" s="242"/>
      <c r="B15" s="242" t="s">
        <v>7</v>
      </c>
      <c r="C15" s="242"/>
      <c r="D15" s="242"/>
      <c r="E15" s="569" t="str">
        <f>cst_wskakunin_owner1_TEL</f>
        <v>090-5914-2655</v>
      </c>
      <c r="F15" s="570"/>
      <c r="G15" s="570"/>
      <c r="H15" s="570"/>
      <c r="I15" s="570"/>
      <c r="J15" s="570"/>
      <c r="K15" s="570"/>
      <c r="L15" s="570"/>
      <c r="M15" s="242"/>
      <c r="N15" s="242"/>
      <c r="O15" s="242"/>
      <c r="P15" s="242"/>
      <c r="Q15" s="242"/>
      <c r="R15" s="242"/>
      <c r="S15" s="242"/>
      <c r="T15" s="242"/>
      <c r="U15" s="242"/>
      <c r="V15" s="242"/>
      <c r="W15" s="242"/>
      <c r="X15" s="242"/>
      <c r="Y15" s="242"/>
      <c r="Z15" s="242"/>
      <c r="AA15" s="242"/>
    </row>
    <row r="16" spans="1:27" ht="18" customHeight="1" x14ac:dyDescent="0.15">
      <c r="A16" s="330" t="s">
        <v>1546</v>
      </c>
    </row>
    <row r="17" spans="1:27" ht="36" customHeight="1" x14ac:dyDescent="0.15">
      <c r="B17" s="573" t="s">
        <v>92</v>
      </c>
      <c r="C17" s="573"/>
      <c r="D17" s="573"/>
      <c r="E17" s="575" t="str">
        <f>cst_wskakunin_owner2__space3</f>
        <v>三木　恵</v>
      </c>
      <c r="F17" s="575"/>
      <c r="G17" s="575"/>
      <c r="H17" s="575"/>
      <c r="I17" s="575"/>
      <c r="J17" s="575"/>
      <c r="K17" s="575"/>
      <c r="L17" s="575"/>
      <c r="M17" s="575"/>
      <c r="N17" s="575"/>
      <c r="O17" s="575"/>
      <c r="P17" s="575"/>
      <c r="Q17" s="575"/>
      <c r="R17" s="575"/>
      <c r="S17" s="575"/>
      <c r="T17" s="575"/>
      <c r="U17" s="575"/>
      <c r="V17" s="575"/>
      <c r="W17" s="575"/>
      <c r="X17" s="575"/>
      <c r="Y17" s="575"/>
      <c r="Z17" s="575"/>
    </row>
    <row r="18" spans="1:27" ht="18" customHeight="1" x14ac:dyDescent="0.15">
      <c r="B18" s="330" t="s">
        <v>5</v>
      </c>
      <c r="E18" s="566" t="str">
        <f>cst_wskakunin_owner2_ZIP</f>
        <v>763-0094</v>
      </c>
      <c r="F18" s="567"/>
      <c r="G18" s="567"/>
      <c r="H18" s="567"/>
      <c r="I18" s="567"/>
      <c r="J18" s="567"/>
    </row>
    <row r="19" spans="1:27" ht="18" customHeight="1" x14ac:dyDescent="0.15">
      <c r="B19" s="330" t="s">
        <v>6</v>
      </c>
      <c r="E19" s="566" t="str">
        <f>cst_wskakunin_owner2__address</f>
        <v>香川県丸亀市三条町1206番地1　キッシングラミーC棟201号</v>
      </c>
      <c r="F19" s="572"/>
      <c r="G19" s="572"/>
      <c r="H19" s="572"/>
      <c r="I19" s="572"/>
      <c r="J19" s="572"/>
      <c r="K19" s="572"/>
      <c r="L19" s="572"/>
      <c r="M19" s="572"/>
      <c r="N19" s="572"/>
      <c r="O19" s="572"/>
      <c r="P19" s="572"/>
      <c r="Q19" s="572"/>
      <c r="R19" s="572"/>
      <c r="S19" s="572"/>
      <c r="T19" s="572"/>
      <c r="U19" s="572"/>
      <c r="V19" s="572"/>
      <c r="W19" s="572"/>
      <c r="X19" s="568"/>
      <c r="Y19" s="568"/>
      <c r="Z19" s="568"/>
      <c r="AA19" s="567"/>
    </row>
    <row r="20" spans="1:27" ht="18" customHeight="1" x14ac:dyDescent="0.15">
      <c r="A20" s="242"/>
      <c r="B20" s="242" t="s">
        <v>7</v>
      </c>
      <c r="C20" s="242"/>
      <c r="D20" s="242"/>
      <c r="E20" s="569" t="str">
        <f>cst_wskakunin_owner2_TEL</f>
        <v>090-5718-4090</v>
      </c>
      <c r="F20" s="570"/>
      <c r="G20" s="570"/>
      <c r="H20" s="570"/>
      <c r="I20" s="570"/>
      <c r="J20" s="570"/>
      <c r="K20" s="570"/>
      <c r="L20" s="570"/>
      <c r="M20" s="242"/>
      <c r="N20" s="242"/>
      <c r="O20" s="242"/>
      <c r="P20" s="242"/>
      <c r="Q20" s="242"/>
      <c r="R20" s="242"/>
      <c r="S20" s="242"/>
      <c r="T20" s="242"/>
      <c r="U20" s="242"/>
      <c r="V20" s="242"/>
      <c r="W20" s="242"/>
      <c r="X20" s="242"/>
      <c r="Y20" s="242"/>
      <c r="Z20" s="242"/>
      <c r="AA20" s="242"/>
    </row>
    <row r="21" spans="1:27" ht="18" customHeight="1" x14ac:dyDescent="0.15">
      <c r="A21" s="330" t="s">
        <v>2987</v>
      </c>
    </row>
    <row r="22" spans="1:27" ht="18" customHeight="1" x14ac:dyDescent="0.15">
      <c r="B22" s="330" t="s">
        <v>92</v>
      </c>
      <c r="E22" s="566" t="str">
        <f>cst_wskakunin_sekou1_NAME</f>
        <v>松坂　直樹</v>
      </c>
      <c r="F22" s="567"/>
      <c r="G22" s="567"/>
      <c r="H22" s="567"/>
      <c r="I22" s="567"/>
      <c r="J22" s="567"/>
      <c r="K22" s="567"/>
      <c r="L22" s="567"/>
      <c r="M22" s="567"/>
      <c r="N22" s="567"/>
      <c r="O22" s="567"/>
      <c r="P22" s="567"/>
      <c r="Q22" s="567"/>
      <c r="R22" s="567"/>
      <c r="S22" s="567"/>
      <c r="T22" s="567"/>
      <c r="U22" s="567"/>
      <c r="V22" s="567"/>
      <c r="W22" s="567"/>
      <c r="X22" s="567"/>
      <c r="Y22" s="567"/>
      <c r="Z22" s="567"/>
      <c r="AA22" s="567"/>
    </row>
    <row r="23" spans="1:27" ht="18" customHeight="1" x14ac:dyDescent="0.15">
      <c r="B23" s="330" t="s">
        <v>2988</v>
      </c>
    </row>
    <row r="24" spans="1:27" ht="18" customHeight="1" x14ac:dyDescent="0.15">
      <c r="E24" s="571" t="str">
        <f>cst_wskakunin_sekou1_JIMU_NAME</f>
        <v>株式会社コラボハウス</v>
      </c>
      <c r="F24" s="571"/>
      <c r="G24" s="571"/>
      <c r="H24" s="571"/>
      <c r="I24" s="571"/>
      <c r="J24" s="571"/>
      <c r="K24" s="571"/>
      <c r="L24" s="571"/>
      <c r="M24" s="571"/>
      <c r="N24" s="571"/>
      <c r="O24" s="571"/>
      <c r="P24" s="571"/>
      <c r="Q24" s="571"/>
      <c r="R24" s="571"/>
      <c r="S24" s="571"/>
      <c r="T24" s="571"/>
      <c r="U24" s="571"/>
      <c r="V24" s="571"/>
      <c r="W24" s="571"/>
      <c r="X24" s="571"/>
      <c r="Y24" s="571"/>
      <c r="Z24" s="571"/>
      <c r="AA24" s="571"/>
    </row>
    <row r="25" spans="1:27" ht="18" customHeight="1" x14ac:dyDescent="0.15">
      <c r="B25" s="330" t="s">
        <v>5</v>
      </c>
      <c r="E25" s="566" t="str">
        <f>cst_wskakunin_sekou1_ZIP</f>
        <v>790-0916</v>
      </c>
      <c r="F25" s="567"/>
      <c r="G25" s="567"/>
      <c r="H25" s="567"/>
      <c r="I25" s="567"/>
      <c r="J25" s="567"/>
    </row>
    <row r="26" spans="1:27" ht="18" customHeight="1" x14ac:dyDescent="0.15">
      <c r="B26" s="330" t="s">
        <v>8</v>
      </c>
      <c r="E26" s="566" t="str">
        <f>cst_wskakunin_sekou1__address</f>
        <v>愛媛県松山市束本1丁目6-10 2F</v>
      </c>
      <c r="F26" s="568"/>
      <c r="G26" s="568"/>
      <c r="H26" s="568"/>
      <c r="I26" s="568"/>
      <c r="J26" s="568"/>
      <c r="K26" s="568"/>
      <c r="L26" s="568"/>
      <c r="M26" s="568"/>
      <c r="N26" s="568"/>
      <c r="O26" s="568"/>
      <c r="P26" s="568"/>
      <c r="Q26" s="568"/>
      <c r="R26" s="568"/>
      <c r="S26" s="568"/>
      <c r="T26" s="568"/>
      <c r="U26" s="568"/>
      <c r="V26" s="568"/>
      <c r="W26" s="568"/>
      <c r="X26" s="568"/>
      <c r="Y26" s="568"/>
      <c r="Z26" s="568"/>
      <c r="AA26" s="567"/>
    </row>
    <row r="27" spans="1:27" ht="18" customHeight="1" x14ac:dyDescent="0.15">
      <c r="A27" s="242"/>
      <c r="B27" s="242" t="s">
        <v>7</v>
      </c>
      <c r="C27" s="242"/>
      <c r="D27" s="242"/>
      <c r="E27" s="569" t="str">
        <f>cst_wskakunin_sekou1_TEL</f>
        <v>089-947-1313</v>
      </c>
      <c r="F27" s="570"/>
      <c r="G27" s="570"/>
      <c r="H27" s="570"/>
      <c r="I27" s="570"/>
      <c r="J27" s="570"/>
      <c r="K27" s="570"/>
      <c r="L27" s="570"/>
      <c r="M27" s="242"/>
      <c r="N27" s="242"/>
      <c r="O27" s="242"/>
      <c r="P27" s="242"/>
      <c r="Q27" s="242"/>
      <c r="R27" s="242"/>
      <c r="S27" s="242"/>
      <c r="T27" s="242"/>
      <c r="U27" s="242"/>
      <c r="V27" s="242"/>
      <c r="W27" s="242"/>
      <c r="X27" s="242"/>
      <c r="Y27" s="242"/>
      <c r="Z27" s="242"/>
      <c r="AA27" s="242"/>
    </row>
    <row r="28" spans="1:27" ht="18" customHeight="1" x14ac:dyDescent="0.15">
      <c r="A28" s="330" t="s">
        <v>2989</v>
      </c>
    </row>
    <row r="29" spans="1:27" ht="18" customHeight="1" x14ac:dyDescent="0.15">
      <c r="B29" s="330" t="s">
        <v>92</v>
      </c>
      <c r="E29" s="566" t="str">
        <f>cst_wskakunin_kanri1_NAME</f>
        <v>白形　真</v>
      </c>
      <c r="F29" s="567"/>
      <c r="G29" s="567"/>
      <c r="H29" s="567"/>
      <c r="I29" s="567"/>
      <c r="J29" s="567"/>
      <c r="K29" s="567"/>
      <c r="L29" s="567"/>
      <c r="M29" s="567"/>
      <c r="N29" s="567"/>
      <c r="O29" s="567"/>
      <c r="P29" s="567"/>
      <c r="Q29" s="567"/>
      <c r="R29" s="567"/>
      <c r="S29" s="567"/>
      <c r="T29" s="567"/>
      <c r="U29" s="567"/>
      <c r="V29" s="567"/>
      <c r="W29" s="567"/>
      <c r="X29" s="567"/>
      <c r="Y29" s="567"/>
      <c r="Z29" s="567"/>
      <c r="AA29" s="567"/>
    </row>
    <row r="30" spans="1:27" ht="18" customHeight="1" x14ac:dyDescent="0.15">
      <c r="B30" s="330" t="s">
        <v>2988</v>
      </c>
    </row>
    <row r="31" spans="1:27" ht="18" customHeight="1" x14ac:dyDescent="0.15">
      <c r="E31" s="571" t="str">
        <f>cst_wskakunin_kanri1_JIMU_NAME</f>
        <v>株式会社コラボハウス一級建築士事務所</v>
      </c>
      <c r="F31" s="571"/>
      <c r="G31" s="571"/>
      <c r="H31" s="571"/>
      <c r="I31" s="571"/>
      <c r="J31" s="571"/>
      <c r="K31" s="571"/>
      <c r="L31" s="571"/>
      <c r="M31" s="571"/>
      <c r="N31" s="571"/>
      <c r="O31" s="571"/>
      <c r="P31" s="571"/>
      <c r="Q31" s="571"/>
      <c r="R31" s="571"/>
      <c r="S31" s="571"/>
      <c r="T31" s="571"/>
      <c r="U31" s="571"/>
      <c r="V31" s="571"/>
      <c r="W31" s="571"/>
      <c r="X31" s="571"/>
      <c r="Y31" s="571"/>
      <c r="Z31" s="571"/>
      <c r="AA31" s="571"/>
    </row>
    <row r="32" spans="1:27" ht="18" customHeight="1" x14ac:dyDescent="0.15">
      <c r="B32" s="330" t="s">
        <v>5</v>
      </c>
      <c r="E32" s="566" t="str">
        <f>cst_wskakunin_kanri1_ZIP</f>
        <v>790-0916</v>
      </c>
      <c r="F32" s="567"/>
      <c r="G32" s="567"/>
      <c r="H32" s="567"/>
      <c r="I32" s="567"/>
      <c r="J32" s="567"/>
    </row>
    <row r="33" spans="1:27" ht="18" customHeight="1" x14ac:dyDescent="0.15">
      <c r="B33" s="330" t="s">
        <v>8</v>
      </c>
      <c r="E33" s="566" t="str">
        <f>cst_wskakunin_kanri1__address</f>
        <v>愛媛県松山市束本1丁目6-10　2F</v>
      </c>
      <c r="F33" s="568"/>
      <c r="G33" s="568"/>
      <c r="H33" s="568"/>
      <c r="I33" s="568"/>
      <c r="J33" s="568"/>
      <c r="K33" s="568"/>
      <c r="L33" s="568"/>
      <c r="M33" s="568"/>
      <c r="N33" s="568"/>
      <c r="O33" s="568"/>
      <c r="P33" s="568"/>
      <c r="Q33" s="568"/>
      <c r="R33" s="568"/>
      <c r="S33" s="568"/>
      <c r="T33" s="568"/>
      <c r="U33" s="568"/>
      <c r="V33" s="568"/>
      <c r="W33" s="568"/>
      <c r="X33" s="568"/>
      <c r="Y33" s="568"/>
      <c r="Z33" s="568"/>
      <c r="AA33" s="567"/>
    </row>
    <row r="34" spans="1:27" ht="18" customHeight="1" x14ac:dyDescent="0.15">
      <c r="A34" s="242"/>
      <c r="B34" s="242" t="s">
        <v>7</v>
      </c>
      <c r="C34" s="242"/>
      <c r="D34" s="242"/>
      <c r="E34" s="569" t="str">
        <f>cst_wskakunin_kanri1_TEL</f>
        <v>089-947-1313</v>
      </c>
      <c r="F34" s="570"/>
      <c r="G34" s="570"/>
      <c r="H34" s="570"/>
      <c r="I34" s="570"/>
      <c r="J34" s="570"/>
      <c r="K34" s="570"/>
      <c r="L34" s="570"/>
      <c r="M34" s="242"/>
      <c r="N34" s="242"/>
      <c r="O34" s="242"/>
      <c r="P34" s="242"/>
      <c r="Q34" s="242"/>
      <c r="R34" s="242"/>
      <c r="S34" s="242"/>
      <c r="T34" s="242"/>
      <c r="U34" s="242"/>
      <c r="V34" s="242"/>
      <c r="W34" s="242"/>
      <c r="X34" s="242"/>
      <c r="Y34" s="242"/>
      <c r="Z34" s="242"/>
      <c r="AA34" s="242"/>
    </row>
    <row r="35" spans="1:27" ht="18" customHeight="1" x14ac:dyDescent="0.15">
      <c r="A35" s="330" t="s">
        <v>9</v>
      </c>
      <c r="E35" s="330" t="s">
        <v>467</v>
      </c>
    </row>
    <row r="36" spans="1:27" ht="18" customHeight="1" x14ac:dyDescent="0.15">
      <c r="B36" s="330" t="s">
        <v>10</v>
      </c>
      <c r="I36" s="565" t="str">
        <f>cst_shinsei_ISSUE_NO</f>
        <v/>
      </c>
      <c r="J36" s="565"/>
      <c r="K36" s="565"/>
      <c r="L36" s="565"/>
      <c r="M36" s="565"/>
      <c r="N36" s="565"/>
      <c r="O36" s="565"/>
      <c r="P36" s="565"/>
      <c r="Q36" s="565"/>
    </row>
    <row r="37" spans="1:27" ht="18" customHeight="1" x14ac:dyDescent="0.15">
      <c r="B37" s="330" t="s">
        <v>11</v>
      </c>
      <c r="H37" s="560" t="str">
        <f ca="1">IF(shinsei_ISSUE_DATE="",TEXT(TODAY(),"ggg"),shinsei_ISSUE_DATE)</f>
        <v>令和</v>
      </c>
      <c r="I37" s="560"/>
      <c r="J37" s="305" t="str">
        <f>cst_shinsei_ISSUE_DATE</f>
        <v/>
      </c>
      <c r="K37" s="330" t="s">
        <v>436</v>
      </c>
      <c r="L37" s="306" t="str">
        <f>cst_shinsei_ISSUE_DATE</f>
        <v/>
      </c>
      <c r="M37" s="330" t="s">
        <v>0</v>
      </c>
      <c r="N37" s="307" t="str">
        <f>cst_shinsei_ISSUE_DATE</f>
        <v/>
      </c>
      <c r="O37" s="330" t="s">
        <v>437</v>
      </c>
    </row>
    <row r="38" spans="1:27" ht="18" customHeight="1" x14ac:dyDescent="0.15">
      <c r="A38" s="242"/>
      <c r="B38" s="242" t="s">
        <v>472</v>
      </c>
      <c r="C38" s="242"/>
      <c r="D38" s="242"/>
      <c r="E38" s="242"/>
      <c r="F38" s="242"/>
      <c r="G38" s="242"/>
      <c r="H38" s="242"/>
      <c r="I38" s="561" t="str">
        <f>cst_shinsei_ISSUE_KOUFU_NAME</f>
        <v/>
      </c>
      <c r="J38" s="562"/>
      <c r="K38" s="562"/>
      <c r="L38" s="562"/>
      <c r="M38" s="562"/>
      <c r="N38" s="562"/>
      <c r="O38" s="562"/>
      <c r="P38" s="562"/>
      <c r="Q38" s="562"/>
      <c r="R38" s="562"/>
      <c r="S38" s="562"/>
      <c r="T38" s="562"/>
      <c r="U38" s="562"/>
      <c r="V38" s="562"/>
      <c r="W38" s="562"/>
      <c r="X38" s="562"/>
      <c r="Y38" s="562"/>
      <c r="Z38" s="562"/>
      <c r="AA38" s="242"/>
    </row>
    <row r="39" spans="1:27" ht="18" customHeight="1" x14ac:dyDescent="0.15">
      <c r="A39" s="330" t="s">
        <v>2990</v>
      </c>
    </row>
    <row r="40" spans="1:27" ht="18" customHeight="1" x14ac:dyDescent="0.15">
      <c r="B40" s="330" t="s">
        <v>92</v>
      </c>
      <c r="E40" s="541"/>
      <c r="F40" s="542"/>
      <c r="G40" s="542"/>
      <c r="H40" s="542"/>
      <c r="I40" s="542"/>
      <c r="J40" s="542"/>
      <c r="K40" s="542"/>
      <c r="L40" s="542"/>
      <c r="M40" s="542"/>
      <c r="N40" s="542"/>
      <c r="O40" s="542"/>
      <c r="P40" s="542"/>
      <c r="Q40" s="542"/>
      <c r="R40" s="542"/>
      <c r="S40" s="542"/>
      <c r="T40" s="542"/>
      <c r="U40" s="542"/>
      <c r="V40" s="542"/>
      <c r="W40" s="542"/>
      <c r="X40" s="542"/>
    </row>
    <row r="41" spans="1:27" ht="18" customHeight="1" x14ac:dyDescent="0.15">
      <c r="B41" s="330" t="s">
        <v>104</v>
      </c>
      <c r="E41" s="541"/>
      <c r="F41" s="542"/>
      <c r="G41" s="542"/>
      <c r="H41" s="542"/>
      <c r="I41" s="542"/>
      <c r="J41" s="542"/>
      <c r="K41" s="542"/>
      <c r="L41" s="542"/>
      <c r="M41" s="542"/>
      <c r="N41" s="542"/>
      <c r="O41" s="542"/>
      <c r="P41" s="542"/>
      <c r="Q41" s="542"/>
      <c r="R41" s="542"/>
      <c r="S41" s="542"/>
      <c r="T41" s="542"/>
      <c r="U41" s="542"/>
      <c r="V41" s="542"/>
      <c r="W41" s="542"/>
      <c r="X41" s="542"/>
    </row>
    <row r="42" spans="1:27" ht="18" customHeight="1" x14ac:dyDescent="0.15">
      <c r="B42" s="330" t="s">
        <v>5</v>
      </c>
      <c r="E42" s="541"/>
      <c r="F42" s="542"/>
      <c r="G42" s="542"/>
      <c r="H42" s="542"/>
      <c r="I42" s="542"/>
      <c r="J42" s="542"/>
    </row>
    <row r="43" spans="1:27" ht="18" customHeight="1" x14ac:dyDescent="0.15">
      <c r="B43" s="330" t="s">
        <v>8</v>
      </c>
      <c r="E43" s="541"/>
      <c r="F43" s="542"/>
      <c r="G43" s="542"/>
      <c r="H43" s="542"/>
      <c r="I43" s="542"/>
      <c r="J43" s="542"/>
      <c r="K43" s="542"/>
      <c r="L43" s="542"/>
      <c r="M43" s="542"/>
      <c r="N43" s="542"/>
      <c r="O43" s="542"/>
      <c r="P43" s="542"/>
      <c r="Q43" s="542"/>
      <c r="R43" s="542"/>
      <c r="S43" s="542"/>
      <c r="T43" s="542"/>
      <c r="U43" s="542"/>
      <c r="V43" s="542"/>
      <c r="W43" s="542"/>
      <c r="X43" s="542"/>
      <c r="Y43" s="542"/>
    </row>
    <row r="44" spans="1:27" ht="18" customHeight="1" x14ac:dyDescent="0.15">
      <c r="A44" s="242"/>
      <c r="B44" s="242" t="s">
        <v>7</v>
      </c>
      <c r="C44" s="242"/>
      <c r="D44" s="242"/>
      <c r="E44" s="545"/>
      <c r="F44" s="546"/>
      <c r="G44" s="546"/>
      <c r="H44" s="546"/>
      <c r="I44" s="546"/>
      <c r="J44" s="546"/>
      <c r="K44" s="546"/>
      <c r="L44" s="546"/>
      <c r="M44" s="242"/>
      <c r="N44" s="242"/>
      <c r="O44" s="242"/>
      <c r="P44" s="242"/>
      <c r="Q44" s="242"/>
      <c r="R44" s="242"/>
      <c r="S44" s="242"/>
      <c r="T44" s="242"/>
      <c r="U44" s="242"/>
      <c r="V44" s="242"/>
      <c r="W44" s="242"/>
      <c r="X44" s="242"/>
      <c r="Y44" s="242"/>
      <c r="Z44" s="242"/>
      <c r="AA44" s="242"/>
    </row>
    <row r="45" spans="1:27" ht="18" customHeight="1" x14ac:dyDescent="0.15">
      <c r="A45" s="330" t="s">
        <v>2991</v>
      </c>
    </row>
    <row r="46" spans="1:27" ht="15.75" customHeight="1" x14ac:dyDescent="0.15"/>
    <row r="47" spans="1:27" x14ac:dyDescent="0.15">
      <c r="A47" s="528" t="s">
        <v>12</v>
      </c>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row>
    <row r="48" spans="1:27" ht="16.5" customHeight="1" x14ac:dyDescent="0.15">
      <c r="A48" s="330" t="s">
        <v>3010</v>
      </c>
    </row>
    <row r="49" spans="1:28" ht="16.5" customHeight="1" x14ac:dyDescent="0.15">
      <c r="B49" s="330" t="s">
        <v>3011</v>
      </c>
      <c r="K49" s="558">
        <f ca="1">IF(wskakunin_KOUJI_TYAKUSYU_YOTEI_DATE="",TEXT(TODAY(),"ggg"),wskakunin_KOUJI_TYAKUSYU_YOTEI_DATE)</f>
        <v>45703</v>
      </c>
      <c r="L49" s="558"/>
      <c r="M49" s="308">
        <f>cst_wskakunin_KOUJI_TYAKUSYU_YOTEI_DATE</f>
        <v>45703</v>
      </c>
      <c r="N49" s="330" t="s">
        <v>436</v>
      </c>
      <c r="O49" s="309">
        <f>cst_wskakunin_KOUJI_TYAKUSYU_YOTEI_DATE</f>
        <v>45703</v>
      </c>
      <c r="P49" s="330" t="s">
        <v>0</v>
      </c>
      <c r="Q49" s="310">
        <f>cst_wskakunin_KOUJI_TYAKUSYU_YOTEI_DATE</f>
        <v>45703</v>
      </c>
      <c r="R49" s="330" t="s">
        <v>437</v>
      </c>
    </row>
    <row r="50" spans="1:28" ht="16.5" customHeight="1" x14ac:dyDescent="0.15">
      <c r="A50" s="242"/>
      <c r="B50" s="242" t="s">
        <v>3012</v>
      </c>
      <c r="C50" s="242"/>
      <c r="D50" s="242"/>
      <c r="E50" s="242"/>
      <c r="F50" s="242"/>
      <c r="G50" s="242"/>
      <c r="H50" s="242"/>
      <c r="I50" s="242"/>
      <c r="J50" s="242"/>
      <c r="K50" s="559">
        <f ca="1">IF(wskakunin_KOUJI_KANRYOU_YOTEI_DATE="",TEXT(TODAY(),"ggg"),wskakunin_KOUJI_KANRYOU_YOTEI_DATE)</f>
        <v>45899</v>
      </c>
      <c r="L50" s="559"/>
      <c r="M50" s="340">
        <f>cst_wskakunin_KOUJI_KANRYOU_YOTEI_DATE</f>
        <v>45899</v>
      </c>
      <c r="N50" s="242" t="s">
        <v>436</v>
      </c>
      <c r="O50" s="341">
        <f>cst_wskakunin_KOUJI_KANRYOU_YOTEI_DATE</f>
        <v>45899</v>
      </c>
      <c r="P50" s="242" t="s">
        <v>0</v>
      </c>
      <c r="Q50" s="342">
        <f>cst_wskakunin_KOUJI_KANRYOU_YOTEI_DATE</f>
        <v>45899</v>
      </c>
      <c r="R50" s="242" t="s">
        <v>437</v>
      </c>
      <c r="S50" s="242"/>
      <c r="T50" s="242"/>
      <c r="U50" s="242"/>
      <c r="V50" s="242"/>
      <c r="W50" s="242"/>
      <c r="X50" s="242"/>
      <c r="Y50" s="242"/>
      <c r="Z50" s="242"/>
      <c r="AA50" s="242"/>
    </row>
    <row r="51" spans="1:28" ht="16.5" customHeight="1" x14ac:dyDescent="0.15">
      <c r="A51" s="330" t="s">
        <v>3013</v>
      </c>
    </row>
    <row r="52" spans="1:28" ht="16.5" customHeight="1" x14ac:dyDescent="0.15">
      <c r="B52" s="330" t="s">
        <v>3014</v>
      </c>
      <c r="I52" s="338" t="s">
        <v>554</v>
      </c>
      <c r="J52" s="330" t="s">
        <v>2992</v>
      </c>
      <c r="M52" s="338" t="s">
        <v>554</v>
      </c>
      <c r="N52" s="330" t="s">
        <v>2993</v>
      </c>
      <c r="T52" s="338" t="s">
        <v>554</v>
      </c>
      <c r="U52" s="330" t="s">
        <v>2994</v>
      </c>
    </row>
    <row r="53" spans="1:28" ht="16.5" customHeight="1" x14ac:dyDescent="0.15">
      <c r="I53" s="338" t="s">
        <v>554</v>
      </c>
      <c r="J53" s="330" t="s">
        <v>2995</v>
      </c>
      <c r="M53" s="338" t="s">
        <v>554</v>
      </c>
      <c r="N53" s="330" t="s">
        <v>2996</v>
      </c>
      <c r="T53" s="338" t="s">
        <v>554</v>
      </c>
      <c r="U53" s="330" t="s">
        <v>2997</v>
      </c>
    </row>
    <row r="54" spans="1:28" ht="16.5" customHeight="1" x14ac:dyDescent="0.15">
      <c r="B54" s="330" t="s">
        <v>3015</v>
      </c>
      <c r="K54" s="338" t="s">
        <v>554</v>
      </c>
      <c r="L54" s="330" t="s">
        <v>3016</v>
      </c>
      <c r="R54" s="338" t="s">
        <v>554</v>
      </c>
      <c r="S54" s="330" t="s">
        <v>3017</v>
      </c>
    </row>
    <row r="55" spans="1:28" ht="16.5" customHeight="1" x14ac:dyDescent="0.15">
      <c r="K55" s="338" t="s">
        <v>554</v>
      </c>
      <c r="L55" s="330" t="s">
        <v>3018</v>
      </c>
    </row>
    <row r="56" spans="1:28" ht="16.5" customHeight="1" x14ac:dyDescent="0.15">
      <c r="A56" s="242"/>
      <c r="B56" s="242"/>
      <c r="C56" s="242"/>
      <c r="D56" s="242"/>
      <c r="E56" s="242"/>
      <c r="F56" s="242"/>
      <c r="G56" s="242"/>
      <c r="H56" s="242"/>
      <c r="I56" s="242"/>
      <c r="J56" s="242"/>
      <c r="K56" s="339" t="s">
        <v>554</v>
      </c>
      <c r="L56" s="242" t="s">
        <v>3019</v>
      </c>
      <c r="M56" s="242"/>
      <c r="N56" s="242"/>
      <c r="O56" s="242"/>
      <c r="P56" s="242"/>
      <c r="Q56" s="242"/>
      <c r="R56" s="242"/>
      <c r="S56" s="242"/>
      <c r="T56" s="339" t="s">
        <v>554</v>
      </c>
      <c r="U56" s="242" t="s">
        <v>3020</v>
      </c>
      <c r="V56" s="242"/>
      <c r="W56" s="242"/>
      <c r="X56" s="242"/>
      <c r="Y56" s="242"/>
      <c r="Z56" s="242"/>
      <c r="AA56" s="242"/>
    </row>
    <row r="57" spans="1:28" ht="16.5" customHeight="1" x14ac:dyDescent="0.15">
      <c r="A57" s="330" t="s">
        <v>3021</v>
      </c>
    </row>
    <row r="58" spans="1:28" ht="16.5" customHeight="1" x14ac:dyDescent="0.15">
      <c r="B58" s="330" t="s">
        <v>2998</v>
      </c>
      <c r="G58" s="563" t="str">
        <f>cst_wskakunin_BUILD__address</f>
        <v>香川県丸亀市飯山町下法軍寺字島田737番3</v>
      </c>
      <c r="H58" s="563"/>
      <c r="I58" s="563"/>
      <c r="J58" s="563"/>
      <c r="K58" s="563"/>
      <c r="L58" s="563"/>
      <c r="M58" s="563"/>
      <c r="N58" s="563"/>
      <c r="O58" s="563"/>
      <c r="P58" s="563"/>
      <c r="Q58" s="563"/>
      <c r="R58" s="563"/>
      <c r="S58" s="563"/>
      <c r="T58" s="563"/>
      <c r="U58" s="563"/>
      <c r="V58" s="563"/>
      <c r="W58" s="563"/>
      <c r="X58" s="563"/>
      <c r="Y58" s="563"/>
      <c r="Z58" s="563"/>
      <c r="AA58" s="563"/>
      <c r="AB58" s="563"/>
    </row>
    <row r="59" spans="1:28" ht="16.5" customHeight="1" x14ac:dyDescent="0.15">
      <c r="G59" s="564"/>
      <c r="H59" s="564"/>
      <c r="I59" s="564"/>
      <c r="J59" s="564"/>
      <c r="K59" s="564"/>
      <c r="L59" s="564"/>
      <c r="M59" s="564"/>
      <c r="N59" s="564"/>
      <c r="O59" s="564"/>
      <c r="P59" s="564"/>
      <c r="Q59" s="564"/>
      <c r="R59" s="564"/>
      <c r="S59" s="564"/>
      <c r="T59" s="564"/>
      <c r="U59" s="564"/>
      <c r="V59" s="564"/>
      <c r="W59" s="564"/>
      <c r="X59" s="564"/>
      <c r="Y59" s="564"/>
      <c r="Z59" s="564"/>
      <c r="AA59" s="564"/>
      <c r="AB59" s="564"/>
    </row>
    <row r="60" spans="1:28" ht="16.5" customHeight="1" x14ac:dyDescent="0.15">
      <c r="G60" s="564"/>
      <c r="H60" s="564"/>
      <c r="I60" s="564"/>
      <c r="J60" s="564"/>
      <c r="K60" s="564"/>
      <c r="L60" s="564"/>
      <c r="M60" s="564"/>
      <c r="N60" s="564"/>
      <c r="O60" s="564"/>
      <c r="P60" s="564"/>
      <c r="Q60" s="564"/>
      <c r="R60" s="564"/>
      <c r="S60" s="564"/>
      <c r="T60" s="564"/>
      <c r="U60" s="564"/>
      <c r="V60" s="564"/>
      <c r="W60" s="564"/>
      <c r="X60" s="564"/>
      <c r="Y60" s="564"/>
      <c r="Z60" s="564"/>
      <c r="AA60" s="564"/>
      <c r="AB60" s="564"/>
    </row>
    <row r="61" spans="1:28" ht="16.5" customHeight="1" x14ac:dyDescent="0.15">
      <c r="B61" s="330" t="s">
        <v>2999</v>
      </c>
      <c r="G61" s="243" t="str">
        <f>IF(cst_wskakunin_KUIKI_SIGAIKA="■","☑","□")</f>
        <v>□</v>
      </c>
      <c r="H61" s="330" t="s">
        <v>3000</v>
      </c>
      <c r="N61" s="243" t="str">
        <f>IF(cst_wskakunin_KUIKI_TYOSEI="■","☑","□")</f>
        <v>□</v>
      </c>
      <c r="O61" s="330" t="s">
        <v>3001</v>
      </c>
    </row>
    <row r="62" spans="1:28" ht="16.5" customHeight="1" x14ac:dyDescent="0.15">
      <c r="G62" s="243" t="str">
        <f>IF(cst_wskakunin_KUIKI_HISETTEI="■","☑","□")</f>
        <v>☑</v>
      </c>
      <c r="H62" s="330" t="s">
        <v>3002</v>
      </c>
      <c r="R62" s="243" t="str">
        <f>IF(cst_wskakunin_KUIKI_JYUN_TOSHI="■","☑","□")</f>
        <v>□</v>
      </c>
      <c r="S62" s="330" t="s">
        <v>14</v>
      </c>
    </row>
    <row r="63" spans="1:28" ht="16.5" customHeight="1" x14ac:dyDescent="0.15">
      <c r="A63" s="242"/>
      <c r="B63" s="242"/>
      <c r="C63" s="242"/>
      <c r="D63" s="242"/>
      <c r="E63" s="242"/>
      <c r="F63" s="242"/>
      <c r="G63" s="244" t="str">
        <f>IF(cst_wskakunin_KUIKI_KUIKIGAI="■","☑","□")</f>
        <v>□</v>
      </c>
      <c r="H63" s="242" t="s">
        <v>15</v>
      </c>
      <c r="I63" s="242"/>
      <c r="J63" s="242"/>
      <c r="K63" s="242"/>
      <c r="L63" s="242"/>
      <c r="M63" s="242"/>
      <c r="N63" s="242"/>
      <c r="O63" s="242"/>
      <c r="P63" s="242"/>
      <c r="Q63" s="242"/>
      <c r="R63" s="242"/>
      <c r="S63" s="242"/>
      <c r="T63" s="242"/>
      <c r="U63" s="242"/>
      <c r="V63" s="242"/>
      <c r="W63" s="242"/>
      <c r="X63" s="242"/>
      <c r="Y63" s="242"/>
      <c r="Z63" s="242"/>
      <c r="AA63" s="242"/>
    </row>
    <row r="64" spans="1:28" ht="16.5" customHeight="1" x14ac:dyDescent="0.15">
      <c r="A64" s="245" t="s">
        <v>16</v>
      </c>
      <c r="B64" s="245"/>
      <c r="C64" s="245"/>
      <c r="D64" s="245"/>
      <c r="E64" s="245"/>
      <c r="F64" s="246" t="str">
        <f>IF(cst_wskakunin_KOUJI_SINTIKU_box="■","☑","□")</f>
        <v>☑</v>
      </c>
      <c r="G64" s="245" t="s">
        <v>17</v>
      </c>
      <c r="H64" s="245"/>
      <c r="I64" s="245"/>
      <c r="J64" s="245"/>
      <c r="K64" s="246" t="str">
        <f>IF(cst_wskakunin_KOUJI_ZOUTIKU_box="■","☑","□")</f>
        <v>□</v>
      </c>
      <c r="L64" s="245" t="s">
        <v>18</v>
      </c>
      <c r="M64" s="245"/>
      <c r="N64" s="245"/>
      <c r="O64" s="245"/>
      <c r="P64" s="246" t="str">
        <f>IF(cst_wskakunin_KOUJI_KAITIKU_box="■","☑","□")</f>
        <v>□</v>
      </c>
      <c r="Q64" s="245" t="s">
        <v>19</v>
      </c>
      <c r="R64" s="245"/>
      <c r="S64" s="245"/>
      <c r="T64" s="245"/>
      <c r="U64" s="246" t="str">
        <f>IF(cst_wskakunin_KOUJI_ITEN_box="■","☑","□")</f>
        <v>□</v>
      </c>
      <c r="V64" s="245" t="s">
        <v>20</v>
      </c>
      <c r="W64" s="245"/>
      <c r="X64" s="245"/>
      <c r="Y64" s="245"/>
      <c r="Z64" s="245"/>
      <c r="AA64" s="245"/>
    </row>
    <row r="65" spans="1:28" ht="16.5" customHeight="1" x14ac:dyDescent="0.15">
      <c r="A65" s="330" t="s">
        <v>21</v>
      </c>
      <c r="G65" s="330" t="s">
        <v>22</v>
      </c>
      <c r="N65" s="241" t="s">
        <v>2</v>
      </c>
      <c r="O65" s="551"/>
      <c r="P65" s="552"/>
      <c r="Q65" s="330" t="s">
        <v>3</v>
      </c>
      <c r="R65" s="537" t="str">
        <f>IF(O65="","",VLOOKUP(O65,工事届用主要用途区分,2,FALSE))</f>
        <v/>
      </c>
      <c r="S65" s="538"/>
      <c r="T65" s="538"/>
      <c r="U65" s="538"/>
      <c r="V65" s="538"/>
      <c r="W65" s="538"/>
      <c r="X65" s="538"/>
      <c r="Y65" s="538"/>
      <c r="Z65" s="538"/>
      <c r="AA65" s="538"/>
    </row>
    <row r="66" spans="1:28" ht="16.5" customHeight="1" x14ac:dyDescent="0.15">
      <c r="G66" s="330" t="s">
        <v>23</v>
      </c>
      <c r="N66" s="241" t="s">
        <v>2</v>
      </c>
      <c r="O66" s="539"/>
      <c r="P66" s="540"/>
      <c r="Q66" s="330" t="s">
        <v>3</v>
      </c>
      <c r="R66" s="541" t="str">
        <f>IF(O66="","",VLOOKUP(O66,工事届用主要用途区分,2,FALSE))</f>
        <v/>
      </c>
      <c r="S66" s="542"/>
      <c r="T66" s="542"/>
      <c r="U66" s="542"/>
      <c r="V66" s="542"/>
      <c r="W66" s="542"/>
      <c r="X66" s="542"/>
      <c r="Y66" s="542"/>
      <c r="Z66" s="542"/>
      <c r="AA66" s="542"/>
    </row>
    <row r="67" spans="1:28" ht="16.5" customHeight="1" x14ac:dyDescent="0.15">
      <c r="A67" s="242"/>
      <c r="B67" s="242"/>
      <c r="C67" s="242"/>
      <c r="D67" s="242"/>
      <c r="E67" s="242"/>
      <c r="F67" s="242"/>
      <c r="G67" s="242" t="s">
        <v>24</v>
      </c>
      <c r="H67" s="242"/>
      <c r="I67" s="242"/>
      <c r="J67" s="242"/>
      <c r="K67" s="242"/>
      <c r="L67" s="242"/>
      <c r="M67" s="242"/>
      <c r="N67" s="247" t="s">
        <v>2</v>
      </c>
      <c r="O67" s="543"/>
      <c r="P67" s="544"/>
      <c r="Q67" s="242" t="s">
        <v>3</v>
      </c>
      <c r="R67" s="545" t="str">
        <f>IF(O67="","",VLOOKUP(O67,工事届用主要用途区分,2,FALSE))</f>
        <v/>
      </c>
      <c r="S67" s="546"/>
      <c r="T67" s="546"/>
      <c r="U67" s="546"/>
      <c r="V67" s="546"/>
      <c r="W67" s="546"/>
      <c r="X67" s="546"/>
      <c r="Y67" s="546"/>
      <c r="Z67" s="546"/>
      <c r="AA67" s="546"/>
    </row>
    <row r="68" spans="1:28" ht="16.5" customHeight="1" x14ac:dyDescent="0.15">
      <c r="A68" s="330" t="s">
        <v>25</v>
      </c>
    </row>
    <row r="69" spans="1:28" ht="16.5" customHeight="1" x14ac:dyDescent="0.15">
      <c r="B69" s="330" t="s">
        <v>26</v>
      </c>
      <c r="F69" s="241"/>
      <c r="H69" s="241" t="s">
        <v>2</v>
      </c>
      <c r="I69" s="535">
        <f>IF(AND(I95="",I97=""),"",1)</f>
        <v>1</v>
      </c>
      <c r="J69" s="536"/>
      <c r="K69" s="536"/>
      <c r="L69" s="536"/>
      <c r="M69" s="536"/>
      <c r="N69" s="330" t="s">
        <v>27</v>
      </c>
      <c r="O69" s="241" t="s">
        <v>2</v>
      </c>
      <c r="P69" s="532" t="str">
        <f>IF(AND(P95="",P97=""),"",2)</f>
        <v/>
      </c>
      <c r="Q69" s="536"/>
      <c r="R69" s="536"/>
      <c r="S69" s="536"/>
      <c r="T69" s="536"/>
      <c r="U69" s="330" t="s">
        <v>27</v>
      </c>
      <c r="V69" s="241" t="s">
        <v>2</v>
      </c>
      <c r="W69" s="532" t="str">
        <f>IF(AND(W95="",W97=""),"",3)</f>
        <v/>
      </c>
      <c r="X69" s="536"/>
      <c r="Y69" s="536"/>
      <c r="Z69" s="536"/>
      <c r="AA69" s="536"/>
      <c r="AB69" s="330" t="s">
        <v>27</v>
      </c>
    </row>
    <row r="70" spans="1:28" ht="16.5" customHeight="1" x14ac:dyDescent="0.15">
      <c r="B70" s="330" t="s">
        <v>28</v>
      </c>
      <c r="H70" s="338" t="s">
        <v>554</v>
      </c>
      <c r="I70" s="330" t="s">
        <v>29</v>
      </c>
      <c r="J70" s="330" t="s">
        <v>30</v>
      </c>
      <c r="O70" s="338" t="s">
        <v>554</v>
      </c>
      <c r="P70" s="330" t="s">
        <v>29</v>
      </c>
      <c r="Q70" s="330" t="s">
        <v>30</v>
      </c>
      <c r="V70" s="338" t="s">
        <v>554</v>
      </c>
      <c r="W70" s="330" t="s">
        <v>29</v>
      </c>
      <c r="X70" s="330" t="s">
        <v>30</v>
      </c>
    </row>
    <row r="71" spans="1:28" ht="16.5" customHeight="1" x14ac:dyDescent="0.15">
      <c r="H71" s="338" t="s">
        <v>554</v>
      </c>
      <c r="I71" s="330" t="s">
        <v>31</v>
      </c>
      <c r="J71" s="330" t="s">
        <v>32</v>
      </c>
      <c r="O71" s="338" t="s">
        <v>554</v>
      </c>
      <c r="P71" s="330" t="s">
        <v>31</v>
      </c>
      <c r="Q71" s="330" t="s">
        <v>32</v>
      </c>
      <c r="V71" s="338" t="s">
        <v>554</v>
      </c>
      <c r="W71" s="330" t="s">
        <v>31</v>
      </c>
      <c r="X71" s="330" t="s">
        <v>32</v>
      </c>
    </row>
    <row r="72" spans="1:28" ht="16.5" customHeight="1" x14ac:dyDescent="0.15">
      <c r="J72" s="330" t="s">
        <v>33</v>
      </c>
      <c r="Q72" s="330" t="s">
        <v>33</v>
      </c>
      <c r="X72" s="330" t="s">
        <v>33</v>
      </c>
    </row>
    <row r="73" spans="1:28" ht="16.5" customHeight="1" x14ac:dyDescent="0.15">
      <c r="H73" s="338" t="s">
        <v>554</v>
      </c>
      <c r="I73" s="330" t="s">
        <v>34</v>
      </c>
      <c r="J73" s="330" t="s">
        <v>35</v>
      </c>
      <c r="O73" s="338" t="s">
        <v>554</v>
      </c>
      <c r="P73" s="330" t="s">
        <v>34</v>
      </c>
      <c r="Q73" s="330" t="s">
        <v>35</v>
      </c>
      <c r="V73" s="338" t="s">
        <v>554</v>
      </c>
      <c r="W73" s="330" t="s">
        <v>34</v>
      </c>
      <c r="X73" s="330" t="s">
        <v>35</v>
      </c>
    </row>
    <row r="74" spans="1:28" ht="16.5" customHeight="1" x14ac:dyDescent="0.15">
      <c r="H74" s="338" t="s">
        <v>554</v>
      </c>
      <c r="I74" s="330" t="s">
        <v>36</v>
      </c>
      <c r="J74" s="330" t="s">
        <v>37</v>
      </c>
      <c r="O74" s="338" t="s">
        <v>554</v>
      </c>
      <c r="P74" s="330" t="s">
        <v>36</v>
      </c>
      <c r="Q74" s="330" t="s">
        <v>37</v>
      </c>
      <c r="V74" s="338" t="s">
        <v>554</v>
      </c>
      <c r="W74" s="330" t="s">
        <v>36</v>
      </c>
      <c r="X74" s="330" t="s">
        <v>37</v>
      </c>
    </row>
    <row r="75" spans="1:28" ht="16.5" customHeight="1" x14ac:dyDescent="0.15">
      <c r="H75" s="338" t="s">
        <v>554</v>
      </c>
      <c r="I75" s="330" t="s">
        <v>38</v>
      </c>
      <c r="J75" s="330" t="s">
        <v>39</v>
      </c>
      <c r="O75" s="338" t="s">
        <v>554</v>
      </c>
      <c r="P75" s="330" t="s">
        <v>38</v>
      </c>
      <c r="Q75" s="330" t="s">
        <v>39</v>
      </c>
      <c r="V75" s="338" t="s">
        <v>554</v>
      </c>
      <c r="W75" s="330" t="s">
        <v>38</v>
      </c>
      <c r="X75" s="330" t="s">
        <v>39</v>
      </c>
    </row>
    <row r="76" spans="1:28" ht="16.5" customHeight="1" x14ac:dyDescent="0.15">
      <c r="H76" s="338" t="s">
        <v>554</v>
      </c>
      <c r="I76" s="330" t="s">
        <v>40</v>
      </c>
      <c r="J76" s="330" t="s">
        <v>41</v>
      </c>
      <c r="O76" s="338" t="s">
        <v>554</v>
      </c>
      <c r="P76" s="330" t="s">
        <v>40</v>
      </c>
      <c r="Q76" s="330" t="s">
        <v>41</v>
      </c>
      <c r="V76" s="338" t="s">
        <v>554</v>
      </c>
      <c r="W76" s="330" t="s">
        <v>40</v>
      </c>
      <c r="X76" s="330" t="s">
        <v>41</v>
      </c>
    </row>
    <row r="77" spans="1:28" ht="16.5" customHeight="1" x14ac:dyDescent="0.15">
      <c r="H77" s="338" t="s">
        <v>554</v>
      </c>
      <c r="I77" s="330" t="s">
        <v>42</v>
      </c>
      <c r="J77" s="330" t="s">
        <v>1</v>
      </c>
      <c r="O77" s="338" t="s">
        <v>554</v>
      </c>
      <c r="P77" s="330" t="s">
        <v>42</v>
      </c>
      <c r="Q77" s="330" t="s">
        <v>1</v>
      </c>
      <c r="V77" s="338" t="s">
        <v>554</v>
      </c>
      <c r="W77" s="330" t="s">
        <v>42</v>
      </c>
      <c r="X77" s="330" t="s">
        <v>1</v>
      </c>
    </row>
    <row r="78" spans="1:28" ht="16.5" customHeight="1" x14ac:dyDescent="0.15">
      <c r="H78" s="338" t="s">
        <v>554</v>
      </c>
      <c r="I78" s="330" t="s">
        <v>3022</v>
      </c>
      <c r="O78" s="338" t="s">
        <v>554</v>
      </c>
      <c r="P78" s="330" t="s">
        <v>3022</v>
      </c>
      <c r="V78" s="338" t="s">
        <v>554</v>
      </c>
      <c r="W78" s="330" t="s">
        <v>3022</v>
      </c>
    </row>
    <row r="79" spans="1:28" ht="16.5" customHeight="1" x14ac:dyDescent="0.15">
      <c r="B79" s="330" t="s">
        <v>43</v>
      </c>
      <c r="H79" s="338" t="s">
        <v>554</v>
      </c>
      <c r="I79" s="330" t="s">
        <v>29</v>
      </c>
      <c r="J79" s="330" t="s">
        <v>44</v>
      </c>
      <c r="O79" s="338" t="s">
        <v>554</v>
      </c>
      <c r="P79" s="330" t="s">
        <v>29</v>
      </c>
      <c r="Q79" s="330" t="s">
        <v>44</v>
      </c>
      <c r="V79" s="338" t="s">
        <v>554</v>
      </c>
      <c r="W79" s="330" t="s">
        <v>29</v>
      </c>
      <c r="X79" s="330" t="s">
        <v>44</v>
      </c>
    </row>
    <row r="80" spans="1:28" ht="16.5" customHeight="1" x14ac:dyDescent="0.15">
      <c r="H80" s="338" t="s">
        <v>554</v>
      </c>
      <c r="I80" s="330" t="s">
        <v>31</v>
      </c>
      <c r="J80" s="330" t="s">
        <v>45</v>
      </c>
      <c r="O80" s="338" t="s">
        <v>554</v>
      </c>
      <c r="P80" s="330" t="s">
        <v>31</v>
      </c>
      <c r="Q80" s="330" t="s">
        <v>45</v>
      </c>
      <c r="V80" s="338" t="s">
        <v>554</v>
      </c>
      <c r="W80" s="330" t="s">
        <v>31</v>
      </c>
      <c r="X80" s="330" t="s">
        <v>45</v>
      </c>
    </row>
    <row r="81" spans="2:28" ht="16.5" customHeight="1" x14ac:dyDescent="0.15">
      <c r="J81" s="330" t="s">
        <v>46</v>
      </c>
      <c r="Q81" s="330" t="s">
        <v>46</v>
      </c>
      <c r="X81" s="330" t="s">
        <v>46</v>
      </c>
    </row>
    <row r="82" spans="2:28" ht="16.5" customHeight="1" x14ac:dyDescent="0.15">
      <c r="H82" s="338" t="s">
        <v>554</v>
      </c>
      <c r="I82" s="330" t="s">
        <v>34</v>
      </c>
      <c r="J82" s="330" t="s">
        <v>47</v>
      </c>
      <c r="O82" s="338" t="s">
        <v>554</v>
      </c>
      <c r="P82" s="330" t="s">
        <v>34</v>
      </c>
      <c r="Q82" s="330" t="s">
        <v>47</v>
      </c>
      <c r="V82" s="338" t="s">
        <v>554</v>
      </c>
      <c r="W82" s="330" t="s">
        <v>34</v>
      </c>
      <c r="X82" s="330" t="s">
        <v>47</v>
      </c>
    </row>
    <row r="83" spans="2:28" ht="16.5" customHeight="1" x14ac:dyDescent="0.15">
      <c r="J83" s="330" t="s">
        <v>48</v>
      </c>
      <c r="Q83" s="330" t="s">
        <v>48</v>
      </c>
      <c r="X83" s="330" t="s">
        <v>48</v>
      </c>
    </row>
    <row r="84" spans="2:28" ht="16.5" customHeight="1" x14ac:dyDescent="0.15">
      <c r="H84" s="338" t="s">
        <v>554</v>
      </c>
      <c r="I84" s="330" t="s">
        <v>36</v>
      </c>
      <c r="J84" s="330" t="s">
        <v>49</v>
      </c>
      <c r="O84" s="338" t="s">
        <v>554</v>
      </c>
      <c r="P84" s="330" t="s">
        <v>36</v>
      </c>
      <c r="Q84" s="330" t="s">
        <v>49</v>
      </c>
      <c r="V84" s="338" t="s">
        <v>554</v>
      </c>
      <c r="W84" s="330" t="s">
        <v>36</v>
      </c>
      <c r="X84" s="330" t="s">
        <v>49</v>
      </c>
    </row>
    <row r="85" spans="2:28" ht="16.5" customHeight="1" x14ac:dyDescent="0.15">
      <c r="H85" s="338" t="s">
        <v>554</v>
      </c>
      <c r="I85" s="330" t="s">
        <v>38</v>
      </c>
      <c r="J85" s="330" t="s">
        <v>50</v>
      </c>
      <c r="O85" s="338" t="s">
        <v>554</v>
      </c>
      <c r="P85" s="330" t="s">
        <v>38</v>
      </c>
      <c r="Q85" s="330" t="s">
        <v>50</v>
      </c>
      <c r="V85" s="338" t="s">
        <v>554</v>
      </c>
      <c r="W85" s="330" t="s">
        <v>38</v>
      </c>
      <c r="X85" s="330" t="s">
        <v>50</v>
      </c>
    </row>
    <row r="86" spans="2:28" ht="16.5" customHeight="1" x14ac:dyDescent="0.15">
      <c r="J86" s="330" t="s">
        <v>51</v>
      </c>
      <c r="Q86" s="330" t="s">
        <v>51</v>
      </c>
      <c r="X86" s="330" t="s">
        <v>51</v>
      </c>
    </row>
    <row r="87" spans="2:28" ht="16.5" customHeight="1" x14ac:dyDescent="0.15">
      <c r="H87" s="338" t="s">
        <v>554</v>
      </c>
      <c r="I87" s="330" t="s">
        <v>40</v>
      </c>
      <c r="J87" s="330" t="s">
        <v>1</v>
      </c>
      <c r="O87" s="338" t="s">
        <v>554</v>
      </c>
      <c r="P87" s="330" t="s">
        <v>40</v>
      </c>
      <c r="Q87" s="330" t="s">
        <v>1</v>
      </c>
      <c r="V87" s="338" t="s">
        <v>554</v>
      </c>
      <c r="W87" s="330" t="s">
        <v>40</v>
      </c>
      <c r="X87" s="330" t="s">
        <v>1</v>
      </c>
    </row>
    <row r="88" spans="2:28" ht="16.5" customHeight="1" x14ac:dyDescent="0.15">
      <c r="B88" s="330" t="s">
        <v>3023</v>
      </c>
    </row>
    <row r="89" spans="2:28" ht="16.5" customHeight="1" x14ac:dyDescent="0.15">
      <c r="H89" s="241" t="s">
        <v>2</v>
      </c>
      <c r="I89" s="532"/>
      <c r="J89" s="533"/>
      <c r="K89" s="533"/>
      <c r="L89" s="533"/>
      <c r="M89" s="330" t="s">
        <v>3024</v>
      </c>
      <c r="O89" s="241" t="s">
        <v>2</v>
      </c>
      <c r="P89" s="532"/>
      <c r="Q89" s="533"/>
      <c r="R89" s="533"/>
      <c r="S89" s="533"/>
      <c r="T89" s="330" t="s">
        <v>3024</v>
      </c>
      <c r="V89" s="241" t="s">
        <v>2</v>
      </c>
      <c r="W89" s="532"/>
      <c r="X89" s="532"/>
      <c r="Y89" s="532"/>
      <c r="Z89" s="532"/>
      <c r="AA89" s="330" t="s">
        <v>3024</v>
      </c>
    </row>
    <row r="90" spans="2:28" ht="16.5" customHeight="1" x14ac:dyDescent="0.15">
      <c r="B90" s="330" t="s">
        <v>3025</v>
      </c>
    </row>
    <row r="91" spans="2:28" ht="16.5" customHeight="1" x14ac:dyDescent="0.15">
      <c r="C91" s="330" t="s">
        <v>52</v>
      </c>
      <c r="H91" s="241" t="s">
        <v>2</v>
      </c>
      <c r="I91" s="534">
        <f>cst_wskakunin_p4_1_YUKA_MENSEKI_SHINSEI</f>
        <v>117.59</v>
      </c>
      <c r="J91" s="534"/>
      <c r="K91" s="534"/>
      <c r="L91" s="534"/>
      <c r="M91" s="396" t="s">
        <v>79</v>
      </c>
      <c r="N91" s="330" t="s">
        <v>27</v>
      </c>
      <c r="O91" s="241" t="s">
        <v>2</v>
      </c>
      <c r="P91" s="534" t="str">
        <f>cst_wskakunin_p4_2_YUKA_MENSEKI_SHINSEI</f>
        <v/>
      </c>
      <c r="Q91" s="534"/>
      <c r="R91" s="534"/>
      <c r="S91" s="534"/>
      <c r="T91" s="396" t="s">
        <v>79</v>
      </c>
      <c r="U91" s="330" t="s">
        <v>27</v>
      </c>
      <c r="V91" s="241" t="s">
        <v>2</v>
      </c>
      <c r="W91" s="534" t="str">
        <f>cst_wskakunin_p4_3_YUKA_MENSEKI_SHINSEI</f>
        <v/>
      </c>
      <c r="X91" s="534"/>
      <c r="Y91" s="534"/>
      <c r="Z91" s="534"/>
      <c r="AA91" s="396" t="s">
        <v>79</v>
      </c>
      <c r="AB91" s="330" t="s">
        <v>27</v>
      </c>
    </row>
    <row r="92" spans="2:28" ht="16.5" customHeight="1" x14ac:dyDescent="0.15">
      <c r="B92" s="330" t="s">
        <v>3026</v>
      </c>
      <c r="I92" s="241"/>
      <c r="O92" s="241"/>
      <c r="V92" s="241"/>
    </row>
    <row r="93" spans="2:28" ht="16.5" customHeight="1" x14ac:dyDescent="0.15">
      <c r="H93" s="241" t="s">
        <v>2</v>
      </c>
      <c r="I93" s="532"/>
      <c r="J93" s="533"/>
      <c r="K93" s="533"/>
      <c r="L93" s="533"/>
      <c r="M93" s="330" t="s">
        <v>53</v>
      </c>
      <c r="O93" s="241" t="s">
        <v>2</v>
      </c>
      <c r="P93" s="532"/>
      <c r="Q93" s="533"/>
      <c r="R93" s="533"/>
      <c r="S93" s="533"/>
      <c r="T93" s="330" t="s">
        <v>53</v>
      </c>
      <c r="V93" s="241" t="s">
        <v>2</v>
      </c>
      <c r="W93" s="532"/>
      <c r="X93" s="532"/>
      <c r="Y93" s="532"/>
      <c r="Z93" s="532"/>
      <c r="AA93" s="330" t="s">
        <v>53</v>
      </c>
    </row>
    <row r="94" spans="2:28" ht="16.5" customHeight="1" x14ac:dyDescent="0.15">
      <c r="B94" s="330" t="s">
        <v>3027</v>
      </c>
    </row>
    <row r="95" spans="2:28" ht="16.5" customHeight="1" x14ac:dyDescent="0.15">
      <c r="H95" s="241" t="s">
        <v>2</v>
      </c>
      <c r="I95" s="555">
        <f>cst_wskakunin_p4_1_KAISU_TIKAI_NOZOKU</f>
        <v>1</v>
      </c>
      <c r="J95" s="555"/>
      <c r="K95" s="555"/>
      <c r="L95" s="555"/>
      <c r="M95" s="555"/>
      <c r="N95" s="330" t="s">
        <v>27</v>
      </c>
      <c r="O95" s="241" t="s">
        <v>2</v>
      </c>
      <c r="P95" s="555" t="str">
        <f>cst_wskakunin_p4_2_KAISU_TIKAI_NOZOKU</f>
        <v/>
      </c>
      <c r="Q95" s="555"/>
      <c r="R95" s="555"/>
      <c r="S95" s="555"/>
      <c r="T95" s="555"/>
      <c r="U95" s="330" t="s">
        <v>27</v>
      </c>
      <c r="V95" s="241" t="s">
        <v>2</v>
      </c>
      <c r="W95" s="555" t="str">
        <f>cst_wskakunin_p4_3_KAISU_TIKAI_NOZOKU</f>
        <v/>
      </c>
      <c r="X95" s="555"/>
      <c r="Y95" s="555"/>
      <c r="Z95" s="555"/>
      <c r="AA95" s="555"/>
      <c r="AB95" s="330" t="s">
        <v>27</v>
      </c>
    </row>
    <row r="96" spans="2:28" ht="16.5" customHeight="1" x14ac:dyDescent="0.15">
      <c r="B96" s="330" t="s">
        <v>3028</v>
      </c>
    </row>
    <row r="97" spans="1:28" ht="16.5" customHeight="1" x14ac:dyDescent="0.15">
      <c r="A97" s="242"/>
      <c r="B97" s="242"/>
      <c r="C97" s="242"/>
      <c r="D97" s="242"/>
      <c r="E97" s="242"/>
      <c r="F97" s="242"/>
      <c r="G97" s="242"/>
      <c r="H97" s="241" t="s">
        <v>2</v>
      </c>
      <c r="I97" s="553" t="str">
        <f>cst_wskakunin_p4_1_KAISU_TIKAI</f>
        <v/>
      </c>
      <c r="J97" s="554"/>
      <c r="K97" s="554"/>
      <c r="L97" s="554"/>
      <c r="M97" s="554"/>
      <c r="N97" s="330" t="s">
        <v>27</v>
      </c>
      <c r="O97" s="241" t="s">
        <v>2</v>
      </c>
      <c r="P97" s="555" t="str">
        <f>cst_wskakunin_p4_2_KAISU_TIKAI</f>
        <v/>
      </c>
      <c r="Q97" s="555"/>
      <c r="R97" s="555"/>
      <c r="S97" s="555"/>
      <c r="T97" s="555"/>
      <c r="U97" s="330" t="s">
        <v>27</v>
      </c>
      <c r="V97" s="241" t="s">
        <v>2</v>
      </c>
      <c r="W97" s="555" t="str">
        <f>cst_wskakunin_p4_3_KAISU_TIKAI</f>
        <v/>
      </c>
      <c r="X97" s="555"/>
      <c r="Y97" s="555"/>
      <c r="Z97" s="555"/>
      <c r="AA97" s="555"/>
      <c r="AB97" s="330" t="s">
        <v>27</v>
      </c>
    </row>
    <row r="98" spans="1:28" ht="16.5" customHeight="1" x14ac:dyDescent="0.15">
      <c r="A98" s="245" t="s">
        <v>54</v>
      </c>
      <c r="B98" s="245"/>
      <c r="C98" s="245"/>
      <c r="D98" s="245"/>
      <c r="E98" s="245"/>
      <c r="F98" s="245"/>
      <c r="G98" s="245"/>
      <c r="H98" s="245"/>
      <c r="I98" s="245"/>
      <c r="J98" s="245"/>
      <c r="K98" s="245"/>
      <c r="L98" s="245"/>
      <c r="M98" s="245"/>
      <c r="N98" s="556">
        <f>cst_wskakunin_SHIKITI_MENSEKI_1_TOTAL</f>
        <v>367</v>
      </c>
      <c r="O98" s="557"/>
      <c r="P98" s="557"/>
      <c r="Q98" s="557"/>
      <c r="R98" s="557"/>
      <c r="S98" s="245" t="s">
        <v>79</v>
      </c>
      <c r="T98" s="245"/>
      <c r="U98" s="245"/>
      <c r="V98" s="245"/>
      <c r="W98" s="245"/>
      <c r="X98" s="245"/>
      <c r="Y98" s="245"/>
      <c r="Z98" s="245"/>
      <c r="AA98" s="245"/>
    </row>
    <row r="99" spans="1:28" ht="16.5" customHeight="1" x14ac:dyDescent="0.15"/>
    <row r="100" spans="1:28" ht="16.5" customHeight="1" x14ac:dyDescent="0.15">
      <c r="A100" s="528" t="s">
        <v>55</v>
      </c>
      <c r="B100" s="528"/>
      <c r="C100" s="528"/>
      <c r="D100" s="528"/>
      <c r="E100" s="528"/>
      <c r="F100" s="528"/>
      <c r="G100" s="528"/>
      <c r="H100" s="528"/>
      <c r="I100" s="528"/>
      <c r="J100" s="528"/>
      <c r="K100" s="528"/>
      <c r="L100" s="528"/>
      <c r="M100" s="528"/>
      <c r="N100" s="528"/>
      <c r="O100" s="528"/>
      <c r="P100" s="528"/>
      <c r="Q100" s="528"/>
      <c r="R100" s="528"/>
      <c r="S100" s="528"/>
      <c r="T100" s="528"/>
      <c r="U100" s="528"/>
      <c r="V100" s="528"/>
      <c r="W100" s="528"/>
      <c r="X100" s="528"/>
      <c r="Y100" s="528"/>
      <c r="Z100" s="528"/>
      <c r="AA100" s="528"/>
    </row>
    <row r="101" spans="1:28" ht="16.5" customHeight="1" x14ac:dyDescent="0.15">
      <c r="A101" s="330" t="s">
        <v>56</v>
      </c>
    </row>
    <row r="102" spans="1:28" ht="16.5" customHeight="1" x14ac:dyDescent="0.15">
      <c r="B102" s="330" t="s">
        <v>26</v>
      </c>
      <c r="G102" s="532"/>
      <c r="H102" s="536"/>
      <c r="I102" s="536"/>
    </row>
    <row r="103" spans="1:28" ht="16.5" customHeight="1" x14ac:dyDescent="0.15">
      <c r="B103" s="330" t="s">
        <v>3029</v>
      </c>
      <c r="J103" s="330" t="s">
        <v>3030</v>
      </c>
      <c r="M103" s="330" t="s">
        <v>2</v>
      </c>
      <c r="N103" s="338" t="s">
        <v>554</v>
      </c>
      <c r="O103" s="330" t="s">
        <v>113</v>
      </c>
      <c r="Q103" s="338" t="s">
        <v>554</v>
      </c>
      <c r="R103" s="330" t="s">
        <v>432</v>
      </c>
      <c r="T103" s="338" t="s">
        <v>554</v>
      </c>
      <c r="U103" s="330" t="s">
        <v>433</v>
      </c>
      <c r="W103" s="330" t="s">
        <v>27</v>
      </c>
    </row>
    <row r="104" spans="1:28" ht="16.5" customHeight="1" x14ac:dyDescent="0.15">
      <c r="J104" s="330" t="s">
        <v>3031</v>
      </c>
      <c r="M104" s="330" t="s">
        <v>2</v>
      </c>
      <c r="Q104" s="338" t="s">
        <v>554</v>
      </c>
      <c r="R104" s="330" t="s">
        <v>432</v>
      </c>
      <c r="T104" s="338" t="s">
        <v>554</v>
      </c>
      <c r="U104" s="330" t="s">
        <v>433</v>
      </c>
      <c r="W104" s="330" t="s">
        <v>27</v>
      </c>
    </row>
    <row r="105" spans="1:28" ht="16.5" customHeight="1" x14ac:dyDescent="0.15">
      <c r="B105" s="330" t="s">
        <v>3032</v>
      </c>
      <c r="H105" s="338" t="s">
        <v>554</v>
      </c>
      <c r="I105" s="330" t="s">
        <v>3033</v>
      </c>
      <c r="O105" s="338" t="s">
        <v>554</v>
      </c>
      <c r="P105" s="330" t="s">
        <v>3034</v>
      </c>
      <c r="T105" s="338" t="s">
        <v>554</v>
      </c>
      <c r="U105" s="330" t="s">
        <v>3035</v>
      </c>
    </row>
    <row r="106" spans="1:28" ht="16.5" customHeight="1" x14ac:dyDescent="0.15">
      <c r="H106" s="338" t="s">
        <v>554</v>
      </c>
      <c r="I106" s="330" t="s">
        <v>3036</v>
      </c>
      <c r="P106" s="338" t="s">
        <v>554</v>
      </c>
      <c r="Q106" s="330" t="s">
        <v>3037</v>
      </c>
    </row>
    <row r="107" spans="1:28" ht="16.5" customHeight="1" x14ac:dyDescent="0.15">
      <c r="B107" s="330" t="s">
        <v>3038</v>
      </c>
      <c r="H107" s="338" t="s">
        <v>554</v>
      </c>
      <c r="I107" s="330" t="s">
        <v>57</v>
      </c>
      <c r="N107" s="338" t="s">
        <v>554</v>
      </c>
      <c r="O107" s="330" t="s">
        <v>58</v>
      </c>
      <c r="U107" s="338" t="s">
        <v>554</v>
      </c>
      <c r="V107" s="330" t="s">
        <v>59</v>
      </c>
    </row>
    <row r="108" spans="1:28" ht="16.5" customHeight="1" x14ac:dyDescent="0.15">
      <c r="B108" s="330" t="s">
        <v>3039</v>
      </c>
      <c r="H108" s="338" t="s">
        <v>554</v>
      </c>
      <c r="I108" s="330" t="s">
        <v>60</v>
      </c>
      <c r="N108" s="338" t="s">
        <v>554</v>
      </c>
      <c r="O108" s="330" t="s">
        <v>63</v>
      </c>
      <c r="U108" s="338" t="s">
        <v>554</v>
      </c>
      <c r="V108" s="330" t="s">
        <v>64</v>
      </c>
    </row>
    <row r="109" spans="1:28" ht="16.5" customHeight="1" x14ac:dyDescent="0.15">
      <c r="B109" s="330" t="s">
        <v>3040</v>
      </c>
      <c r="H109" s="338" t="s">
        <v>554</v>
      </c>
      <c r="I109" s="330" t="s">
        <v>61</v>
      </c>
      <c r="N109" s="338" t="s">
        <v>554</v>
      </c>
      <c r="O109" s="330" t="s">
        <v>62</v>
      </c>
      <c r="U109" s="338" t="s">
        <v>554</v>
      </c>
      <c r="V109" s="330" t="s">
        <v>3041</v>
      </c>
    </row>
    <row r="110" spans="1:28" ht="16.5" customHeight="1" x14ac:dyDescent="0.15">
      <c r="B110" s="330" t="s">
        <v>3042</v>
      </c>
      <c r="G110" s="241"/>
      <c r="H110" s="338" t="s">
        <v>554</v>
      </c>
      <c r="I110" s="547" t="s">
        <v>65</v>
      </c>
      <c r="J110" s="548"/>
      <c r="K110" s="548"/>
      <c r="L110" s="337"/>
      <c r="M110" s="338" t="s">
        <v>554</v>
      </c>
      <c r="N110" s="547" t="s">
        <v>67</v>
      </c>
      <c r="O110" s="548"/>
      <c r="P110" s="548"/>
      <c r="Q110" s="337"/>
      <c r="R110" s="338" t="s">
        <v>554</v>
      </c>
      <c r="S110" s="547" t="s">
        <v>68</v>
      </c>
      <c r="T110" s="548"/>
      <c r="U110" s="548"/>
      <c r="V110" s="337"/>
      <c r="W110" s="338" t="s">
        <v>554</v>
      </c>
      <c r="X110" s="547" t="s">
        <v>69</v>
      </c>
      <c r="Y110" s="548"/>
      <c r="Z110" s="548"/>
      <c r="AA110" s="248"/>
    </row>
    <row r="111" spans="1:28" ht="16.5" customHeight="1" x14ac:dyDescent="0.15">
      <c r="B111" s="330" t="s">
        <v>3043</v>
      </c>
      <c r="G111" s="241" t="s">
        <v>2</v>
      </c>
      <c r="H111" s="529" t="str">
        <f>IF(H110="☑",1,"")</f>
        <v/>
      </c>
      <c r="I111" s="529"/>
      <c r="J111" s="529"/>
      <c r="K111" s="397" t="s">
        <v>78</v>
      </c>
      <c r="L111" s="337" t="s">
        <v>66</v>
      </c>
      <c r="M111" s="530"/>
      <c r="N111" s="530"/>
      <c r="O111" s="530"/>
      <c r="P111" s="397" t="s">
        <v>78</v>
      </c>
      <c r="Q111" s="337" t="s">
        <v>66</v>
      </c>
      <c r="R111" s="530"/>
      <c r="S111" s="530"/>
      <c r="T111" s="530"/>
      <c r="U111" s="397" t="s">
        <v>78</v>
      </c>
      <c r="V111" s="337" t="s">
        <v>66</v>
      </c>
      <c r="W111" s="529" t="str">
        <f>IF(W110="☑",1,"")</f>
        <v/>
      </c>
      <c r="X111" s="529"/>
      <c r="Y111" s="529"/>
      <c r="Z111" s="397" t="s">
        <v>78</v>
      </c>
      <c r="AA111" s="248" t="s">
        <v>27</v>
      </c>
    </row>
    <row r="112" spans="1:28" ht="16.5" customHeight="1" x14ac:dyDescent="0.15">
      <c r="B112" s="330" t="s">
        <v>3044</v>
      </c>
      <c r="G112" s="241" t="s">
        <v>2</v>
      </c>
      <c r="H112" s="531" t="str">
        <f>IF(H110="☑",cst_wskakunin_NOBE_MENSEKI_JYUTAKU_SHINSEI,"")</f>
        <v/>
      </c>
      <c r="I112" s="531"/>
      <c r="J112" s="531"/>
      <c r="K112" s="398" t="s">
        <v>79</v>
      </c>
      <c r="L112" s="337" t="s">
        <v>66</v>
      </c>
      <c r="M112" s="530"/>
      <c r="N112" s="530"/>
      <c r="O112" s="530"/>
      <c r="P112" s="398" t="s">
        <v>79</v>
      </c>
      <c r="Q112" s="337" t="s">
        <v>66</v>
      </c>
      <c r="R112" s="530"/>
      <c r="S112" s="530"/>
      <c r="T112" s="530"/>
      <c r="U112" s="398" t="s">
        <v>79</v>
      </c>
      <c r="V112" s="337" t="s">
        <v>66</v>
      </c>
      <c r="W112" s="531" t="str">
        <f>IF(W110="☑",cst_wskakunin_NOBE_MENSEKI_JYUTAKU_SHINSEI,"")</f>
        <v/>
      </c>
      <c r="X112" s="531"/>
      <c r="Y112" s="531"/>
      <c r="Z112" s="398" t="s">
        <v>79</v>
      </c>
      <c r="AA112" s="248" t="s">
        <v>27</v>
      </c>
    </row>
    <row r="113" spans="1:27" ht="16.5" customHeight="1" x14ac:dyDescent="0.15">
      <c r="A113" s="242"/>
      <c r="B113" s="242"/>
      <c r="C113" s="242" t="s">
        <v>70</v>
      </c>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row>
    <row r="114" spans="1:27" ht="16.5" customHeight="1" x14ac:dyDescent="0.15"/>
    <row r="115" spans="1:27" ht="16.5" customHeight="1" x14ac:dyDescent="0.15">
      <c r="A115" s="528" t="s">
        <v>71</v>
      </c>
      <c r="B115" s="528"/>
      <c r="C115" s="528"/>
      <c r="D115" s="528"/>
      <c r="E115" s="528"/>
      <c r="F115" s="528"/>
      <c r="G115" s="528"/>
      <c r="H115" s="528"/>
      <c r="I115" s="528"/>
      <c r="J115" s="528"/>
      <c r="K115" s="528"/>
      <c r="L115" s="528"/>
      <c r="M115" s="528"/>
      <c r="N115" s="528"/>
      <c r="O115" s="528"/>
      <c r="P115" s="528"/>
      <c r="Q115" s="528"/>
      <c r="R115" s="528"/>
      <c r="S115" s="528"/>
      <c r="T115" s="528"/>
      <c r="U115" s="528"/>
      <c r="V115" s="528"/>
      <c r="W115" s="528"/>
      <c r="X115" s="528"/>
      <c r="Y115" s="528"/>
      <c r="Z115" s="528"/>
      <c r="AA115" s="528"/>
    </row>
    <row r="116" spans="1:27" ht="16.5" customHeight="1" x14ac:dyDescent="0.15">
      <c r="A116" s="330" t="s">
        <v>72</v>
      </c>
      <c r="G116" s="330" t="s">
        <v>22</v>
      </c>
      <c r="N116" s="241" t="s">
        <v>2</v>
      </c>
      <c r="O116" s="551"/>
      <c r="P116" s="552"/>
      <c r="Q116" s="330" t="s">
        <v>3</v>
      </c>
      <c r="R116" s="537" t="str">
        <f>IF(O116="","",VLOOKUP(O116,工事届用主要用途区分,2,FALSE))</f>
        <v/>
      </c>
      <c r="S116" s="538"/>
      <c r="T116" s="538"/>
      <c r="U116" s="538"/>
      <c r="V116" s="538"/>
      <c r="W116" s="538"/>
      <c r="X116" s="538"/>
      <c r="Y116" s="538"/>
      <c r="Z116" s="538"/>
      <c r="AA116" s="538"/>
    </row>
    <row r="117" spans="1:27" ht="16.5" customHeight="1" x14ac:dyDescent="0.15">
      <c r="G117" s="330" t="s">
        <v>23</v>
      </c>
      <c r="N117" s="241" t="s">
        <v>2</v>
      </c>
      <c r="O117" s="539"/>
      <c r="P117" s="540"/>
      <c r="Q117" s="330" t="s">
        <v>3</v>
      </c>
      <c r="R117" s="541" t="str">
        <f>IF(O117="","",VLOOKUP(O117,工事届用主要用途区分,2,FALSE))</f>
        <v/>
      </c>
      <c r="S117" s="542"/>
      <c r="T117" s="542"/>
      <c r="U117" s="542"/>
      <c r="V117" s="542"/>
      <c r="W117" s="542"/>
      <c r="X117" s="542"/>
      <c r="Y117" s="542"/>
      <c r="Z117" s="542"/>
      <c r="AA117" s="542"/>
    </row>
    <row r="118" spans="1:27" ht="16.5" customHeight="1" x14ac:dyDescent="0.15">
      <c r="G118" s="330" t="s">
        <v>24</v>
      </c>
      <c r="N118" s="241" t="s">
        <v>2</v>
      </c>
      <c r="O118" s="539"/>
      <c r="P118" s="540"/>
      <c r="Q118" s="330" t="s">
        <v>3</v>
      </c>
      <c r="R118" s="541" t="str">
        <f>IF(O118="","",VLOOKUP(O118,工事届用主要用途区分,2,FALSE))</f>
        <v/>
      </c>
      <c r="S118" s="542"/>
      <c r="T118" s="542"/>
      <c r="U118" s="542"/>
      <c r="V118" s="542"/>
      <c r="W118" s="542"/>
      <c r="X118" s="542"/>
      <c r="Y118" s="542"/>
      <c r="Z118" s="542"/>
      <c r="AA118" s="542"/>
    </row>
    <row r="119" spans="1:27" ht="16.5" customHeight="1" x14ac:dyDescent="0.15">
      <c r="A119" s="330" t="s">
        <v>3045</v>
      </c>
      <c r="F119" s="338" t="s">
        <v>554</v>
      </c>
      <c r="G119" s="330" t="s">
        <v>73</v>
      </c>
      <c r="Q119" s="338" t="s">
        <v>554</v>
      </c>
      <c r="R119" s="330" t="s">
        <v>74</v>
      </c>
    </row>
    <row r="120" spans="1:27" ht="16.5" customHeight="1" x14ac:dyDescent="0.15">
      <c r="A120" s="330" t="s">
        <v>3046</v>
      </c>
      <c r="F120" s="338" t="s">
        <v>554</v>
      </c>
      <c r="G120" s="330" t="s">
        <v>75</v>
      </c>
      <c r="Q120" s="338" t="s">
        <v>554</v>
      </c>
      <c r="R120" s="330" t="s">
        <v>74</v>
      </c>
    </row>
    <row r="121" spans="1:27" ht="16.5" customHeight="1" x14ac:dyDescent="0.15">
      <c r="A121" s="330" t="s">
        <v>76</v>
      </c>
      <c r="J121" s="541"/>
      <c r="K121" s="542"/>
    </row>
    <row r="122" spans="1:27" ht="16.5" customHeight="1" x14ac:dyDescent="0.15">
      <c r="A122" s="330" t="s">
        <v>77</v>
      </c>
      <c r="J122" s="541"/>
      <c r="K122" s="542"/>
      <c r="L122" s="330" t="s">
        <v>78</v>
      </c>
    </row>
    <row r="123" spans="1:27" ht="16.5" customHeight="1" x14ac:dyDescent="0.15">
      <c r="A123" s="330" t="s">
        <v>3003</v>
      </c>
      <c r="H123" s="338" t="s">
        <v>554</v>
      </c>
      <c r="I123" s="330" t="s">
        <v>3004</v>
      </c>
      <c r="L123" s="338" t="s">
        <v>554</v>
      </c>
      <c r="M123" s="330" t="s">
        <v>3005</v>
      </c>
      <c r="P123" s="338" t="s">
        <v>554</v>
      </c>
      <c r="Q123" s="330" t="s">
        <v>3006</v>
      </c>
    </row>
    <row r="124" spans="1:27" ht="16.5" customHeight="1" x14ac:dyDescent="0.15">
      <c r="A124" s="330" t="s">
        <v>3007</v>
      </c>
      <c r="I124" s="549"/>
      <c r="J124" s="550"/>
      <c r="K124" s="550"/>
      <c r="L124" s="330" t="s">
        <v>79</v>
      </c>
    </row>
    <row r="125" spans="1:27" ht="16.5" customHeight="1" x14ac:dyDescent="0.15">
      <c r="A125" s="242" t="s">
        <v>3008</v>
      </c>
      <c r="B125" s="242"/>
      <c r="C125" s="242"/>
      <c r="D125" s="242"/>
      <c r="E125" s="242"/>
      <c r="F125" s="242"/>
      <c r="G125" s="242"/>
      <c r="H125" s="242"/>
      <c r="I125" s="545"/>
      <c r="J125" s="546"/>
      <c r="K125" s="546"/>
      <c r="L125" s="242" t="s">
        <v>3009</v>
      </c>
      <c r="M125" s="242"/>
      <c r="N125" s="242"/>
      <c r="O125" s="242"/>
      <c r="P125" s="242"/>
      <c r="Q125" s="242"/>
      <c r="R125" s="242"/>
      <c r="S125" s="242"/>
      <c r="T125" s="242"/>
      <c r="U125" s="242"/>
      <c r="V125" s="242"/>
      <c r="W125" s="242"/>
      <c r="X125" s="242"/>
      <c r="Y125" s="242"/>
      <c r="Z125" s="242"/>
      <c r="AA125" s="242"/>
    </row>
  </sheetData>
  <sheetProtection formatCells="0" formatColumns="0" formatRows="0"/>
  <mergeCells count="87">
    <mergeCell ref="A4:AA4"/>
    <mergeCell ref="A5:AA5"/>
    <mergeCell ref="A6:AA6"/>
    <mergeCell ref="S8:T8"/>
    <mergeCell ref="B10:E10"/>
    <mergeCell ref="E18:J18"/>
    <mergeCell ref="E19:AA19"/>
    <mergeCell ref="E20:L20"/>
    <mergeCell ref="B12:D12"/>
    <mergeCell ref="E12:Z12"/>
    <mergeCell ref="E13:J13"/>
    <mergeCell ref="E14:AA14"/>
    <mergeCell ref="E15:L15"/>
    <mergeCell ref="B17:D17"/>
    <mergeCell ref="E17:Z17"/>
    <mergeCell ref="G58:AB60"/>
    <mergeCell ref="O65:P65"/>
    <mergeCell ref="I36:Q36"/>
    <mergeCell ref="E22:AA22"/>
    <mergeCell ref="E25:J25"/>
    <mergeCell ref="E26:AA26"/>
    <mergeCell ref="E27:L27"/>
    <mergeCell ref="E29:AA29"/>
    <mergeCell ref="E32:J32"/>
    <mergeCell ref="E33:AA33"/>
    <mergeCell ref="E34:L34"/>
    <mergeCell ref="E31:AA31"/>
    <mergeCell ref="E24:AA24"/>
    <mergeCell ref="E43:Y43"/>
    <mergeCell ref="E44:L44"/>
    <mergeCell ref="A47:AA47"/>
    <mergeCell ref="K49:L49"/>
    <mergeCell ref="K50:L50"/>
    <mergeCell ref="H37:I37"/>
    <mergeCell ref="I38:Z38"/>
    <mergeCell ref="E40:X40"/>
    <mergeCell ref="E41:X41"/>
    <mergeCell ref="E42:J42"/>
    <mergeCell ref="I97:M97"/>
    <mergeCell ref="P97:T97"/>
    <mergeCell ref="W97:AA97"/>
    <mergeCell ref="N98:R98"/>
    <mergeCell ref="I95:M95"/>
    <mergeCell ref="P95:T95"/>
    <mergeCell ref="W95:AA95"/>
    <mergeCell ref="I125:K125"/>
    <mergeCell ref="A100:AA100"/>
    <mergeCell ref="G102:I102"/>
    <mergeCell ref="I110:K110"/>
    <mergeCell ref="N110:P110"/>
    <mergeCell ref="S110:U110"/>
    <mergeCell ref="X110:Z110"/>
    <mergeCell ref="O118:P118"/>
    <mergeCell ref="R118:AA118"/>
    <mergeCell ref="J121:K121"/>
    <mergeCell ref="J122:K122"/>
    <mergeCell ref="I124:K124"/>
    <mergeCell ref="O116:P116"/>
    <mergeCell ref="R116:AA116"/>
    <mergeCell ref="O117:P117"/>
    <mergeCell ref="R117:AA117"/>
    <mergeCell ref="R65:AA65"/>
    <mergeCell ref="O66:P66"/>
    <mergeCell ref="R66:AA66"/>
    <mergeCell ref="O67:P67"/>
    <mergeCell ref="R67:AA67"/>
    <mergeCell ref="I69:M69"/>
    <mergeCell ref="P69:T69"/>
    <mergeCell ref="W69:AA69"/>
    <mergeCell ref="I89:L89"/>
    <mergeCell ref="P89:S89"/>
    <mergeCell ref="W89:Z89"/>
    <mergeCell ref="I93:L93"/>
    <mergeCell ref="P93:S93"/>
    <mergeCell ref="W93:Z93"/>
    <mergeCell ref="I91:L91"/>
    <mergeCell ref="P91:S91"/>
    <mergeCell ref="W91:Z91"/>
    <mergeCell ref="A115:AA115"/>
    <mergeCell ref="H111:J111"/>
    <mergeCell ref="M111:O111"/>
    <mergeCell ref="R111:T111"/>
    <mergeCell ref="W111:Y111"/>
    <mergeCell ref="H112:J112"/>
    <mergeCell ref="M112:O112"/>
    <mergeCell ref="R112:T112"/>
    <mergeCell ref="W112:Y112"/>
  </mergeCells>
  <phoneticPr fontId="32"/>
  <dataValidations count="4">
    <dataValidation type="list" allowBlank="1" showInputMessage="1" showErrorMessage="1" sqref="O66:P67 O117:P118" xr:uid="{00000000-0002-0000-0A00-000000000000}">
      <formula1>工事届用主要用途2</formula1>
    </dataValidation>
    <dataValidation type="list" allowBlank="1" showInputMessage="1" showErrorMessage="1" sqref="O65:P65 O116:P116" xr:uid="{00000000-0002-0000-0A00-000001000000}">
      <formula1>工事届用主要用途</formula1>
    </dataValidation>
    <dataValidation allowBlank="1" showInputMessage="1" showErrorMessage="1" sqref="F64 K64 P64 U64" xr:uid="{00000000-0002-0000-0A00-000002000000}"/>
    <dataValidation type="list" allowBlank="1" showInputMessage="1" sqref="F119:F120 H70:H71 H73:H80 H82 H84:H85 H87 H105:H110 H123 I52:I53 K54:K56 L123 M52:M53 M110 N103 N107:N109 O70:O71 O73:O80 O82 O84:O85 O87 O105 P106 P123 Q103:Q104 Q119:Q120 R54 R110 T52:T53 T56 T103:T105 U107:U109 V70:V71 V73:V80 V82 V84:V85 V87 W110" xr:uid="{00000000-0002-0000-0A00-000003000000}">
      <formula1>"□,☑"</formula1>
    </dataValidation>
  </dataValidations>
  <printOptions horizontalCentered="1"/>
  <pageMargins left="0.78740157480314965" right="0.78740157480314965" top="0.51181102362204722" bottom="0.39370078740157483" header="0.51181102362204722" footer="0.51181102362204722"/>
  <pageSetup paperSize="9" scale="97" fitToHeight="4" orientation="portrait" blackAndWhite="1" horizontalDpi="300" verticalDpi="300" r:id="rId1"/>
  <rowBreaks count="3" manualBreakCount="3">
    <brk id="46" max="27" man="1"/>
    <brk id="99" max="16383" man="1"/>
    <brk id="11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BF655"/>
  <sheetViews>
    <sheetView zoomScaleNormal="100" zoomScaleSheetLayoutView="100" workbookViewId="0"/>
  </sheetViews>
  <sheetFormatPr defaultColWidth="2.625" defaultRowHeight="13.5" x14ac:dyDescent="0.15"/>
  <cols>
    <col min="1" max="1" width="1.625" style="429" customWidth="1"/>
    <col min="2" max="8" width="2.625" style="429" customWidth="1"/>
    <col min="9" max="9" width="3" style="429" customWidth="1"/>
    <col min="10" max="34" width="2.625" style="429" customWidth="1"/>
    <col min="35" max="37" width="2.5" style="429" customWidth="1"/>
    <col min="38" max="38" width="0.875" style="429" customWidth="1"/>
    <col min="39" max="40" width="2.625" style="429" customWidth="1"/>
    <col min="41" max="41" width="4.875" style="429" bestFit="1" customWidth="1"/>
    <col min="42" max="42" width="2.625" style="429" customWidth="1"/>
    <col min="43" max="16384" width="2.625" style="429"/>
  </cols>
  <sheetData>
    <row r="1" spans="1:38" x14ac:dyDescent="0.15">
      <c r="A1" s="721" t="s">
        <v>2984</v>
      </c>
      <c r="B1" s="721"/>
      <c r="C1" s="721"/>
      <c r="D1" s="721"/>
      <c r="E1" s="721"/>
      <c r="F1" s="721"/>
      <c r="G1" s="721"/>
      <c r="H1" s="721"/>
      <c r="I1" s="721"/>
      <c r="J1" s="721"/>
      <c r="K1" s="721"/>
      <c r="L1" s="721"/>
      <c r="M1" s="721"/>
    </row>
    <row r="2" spans="1:38" x14ac:dyDescent="0.15">
      <c r="A2" s="721"/>
      <c r="B2" s="721"/>
      <c r="C2" s="721"/>
      <c r="D2" s="721"/>
      <c r="E2" s="721"/>
      <c r="F2" s="721"/>
      <c r="G2" s="721"/>
      <c r="H2" s="721"/>
      <c r="I2" s="721"/>
      <c r="J2" s="721"/>
      <c r="K2" s="721"/>
      <c r="L2" s="721"/>
      <c r="M2" s="721"/>
    </row>
    <row r="4" spans="1:38" ht="8.1" customHeight="1" x14ac:dyDescent="0.15">
      <c r="A4" s="721" t="s">
        <v>3333</v>
      </c>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c r="AK4" s="428"/>
      <c r="AL4" s="428"/>
    </row>
    <row r="5" spans="1:38" ht="8.1" customHeight="1" x14ac:dyDescent="0.15">
      <c r="A5" s="721"/>
      <c r="B5" s="721"/>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428"/>
      <c r="AL5" s="428"/>
    </row>
    <row r="6" spans="1:38" ht="8.1" customHeight="1" x14ac:dyDescent="0.15">
      <c r="A6" s="721" t="s">
        <v>482</v>
      </c>
      <c r="B6" s="721"/>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428"/>
      <c r="AL6" s="428"/>
    </row>
    <row r="7" spans="1:38" ht="8.1" customHeight="1" x14ac:dyDescent="0.15">
      <c r="A7" s="721"/>
      <c r="B7" s="721"/>
      <c r="C7" s="721"/>
      <c r="D7" s="721"/>
      <c r="E7" s="721"/>
      <c r="F7" s="721"/>
      <c r="G7" s="721"/>
      <c r="H7" s="721"/>
      <c r="I7" s="721"/>
      <c r="J7" s="721"/>
      <c r="K7" s="721"/>
      <c r="L7" s="721"/>
      <c r="M7" s="721"/>
      <c r="N7" s="721"/>
      <c r="O7" s="721"/>
      <c r="P7" s="721"/>
      <c r="Q7" s="721"/>
      <c r="R7" s="721"/>
      <c r="S7" s="721"/>
      <c r="T7" s="721"/>
      <c r="U7" s="721"/>
      <c r="V7" s="721"/>
      <c r="W7" s="721"/>
      <c r="X7" s="721"/>
      <c r="Y7" s="721"/>
      <c r="Z7" s="721"/>
      <c r="AA7" s="721"/>
      <c r="AB7" s="721"/>
      <c r="AC7" s="721"/>
      <c r="AD7" s="721"/>
      <c r="AE7" s="721"/>
      <c r="AF7" s="721"/>
      <c r="AG7" s="721"/>
      <c r="AH7" s="721"/>
      <c r="AI7" s="721"/>
      <c r="AJ7" s="721"/>
      <c r="AK7" s="428"/>
      <c r="AL7" s="428"/>
    </row>
    <row r="8" spans="1:38" ht="8.1" customHeight="1" x14ac:dyDescent="0.15">
      <c r="A8" s="721" t="s">
        <v>4</v>
      </c>
      <c r="B8" s="721"/>
      <c r="C8" s="721"/>
      <c r="D8" s="721"/>
      <c r="E8" s="721"/>
      <c r="F8" s="721"/>
      <c r="G8" s="721"/>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1"/>
      <c r="AI8" s="721"/>
      <c r="AJ8" s="721"/>
      <c r="AK8" s="428"/>
      <c r="AL8" s="428"/>
    </row>
    <row r="9" spans="1:38" ht="8.1" customHeight="1" x14ac:dyDescent="0.15">
      <c r="A9" s="721"/>
      <c r="B9" s="721"/>
      <c r="C9" s="721"/>
      <c r="D9" s="721"/>
      <c r="E9" s="721"/>
      <c r="F9" s="721"/>
      <c r="G9" s="721"/>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428"/>
      <c r="AL9" s="428"/>
    </row>
    <row r="10" spans="1:38" x14ac:dyDescent="0.15">
      <c r="Y10" s="724" t="str">
        <f ca="1">IF(wskakunin_SHINSEI_DATE="",TEXT(TODAY(),"ggg"),wskakunin_SHINSEI_DATE)</f>
        <v>令和</v>
      </c>
      <c r="Z10" s="725"/>
      <c r="AA10" s="727" t="str">
        <f>cst_wskakunin_SHINSEI_DATE</f>
        <v/>
      </c>
      <c r="AB10" s="728"/>
      <c r="AC10" s="721" t="s">
        <v>436</v>
      </c>
      <c r="AD10" s="730" t="str">
        <f>cst_wskakunin_SHINSEI_DATE</f>
        <v/>
      </c>
      <c r="AE10" s="730"/>
      <c r="AF10" s="721" t="s">
        <v>0</v>
      </c>
      <c r="AG10" s="732" t="str">
        <f>cst_wskakunin_SHINSEI_DATE</f>
        <v/>
      </c>
      <c r="AH10" s="732"/>
      <c r="AI10" s="721" t="s">
        <v>437</v>
      </c>
    </row>
    <row r="11" spans="1:38" x14ac:dyDescent="0.15">
      <c r="Y11" s="726"/>
      <c r="Z11" s="726"/>
      <c r="AA11" s="729"/>
      <c r="AB11" s="729"/>
      <c r="AC11" s="721"/>
      <c r="AD11" s="731"/>
      <c r="AE11" s="731"/>
      <c r="AF11" s="721"/>
      <c r="AG11" s="733"/>
      <c r="AH11" s="733"/>
      <c r="AI11" s="721"/>
    </row>
    <row r="12" spans="1:38" x14ac:dyDescent="0.15">
      <c r="A12" s="722" t="str">
        <f>cst_wskakunin_BUILD_KEN__ken</f>
        <v>香川県</v>
      </c>
      <c r="B12" s="722"/>
      <c r="C12" s="722"/>
      <c r="D12" s="722"/>
      <c r="E12" s="722"/>
      <c r="F12" s="722"/>
      <c r="G12" s="722"/>
      <c r="H12" s="722"/>
      <c r="I12" s="722"/>
      <c r="J12" s="722"/>
      <c r="K12" s="722"/>
      <c r="L12" s="722"/>
      <c r="M12" s="721" t="s">
        <v>3334</v>
      </c>
      <c r="N12" s="721"/>
      <c r="O12" s="721"/>
      <c r="P12" s="721"/>
    </row>
    <row r="13" spans="1:38" x14ac:dyDescent="0.15">
      <c r="A13" s="723"/>
      <c r="B13" s="723"/>
      <c r="C13" s="723"/>
      <c r="D13" s="723"/>
      <c r="E13" s="723"/>
      <c r="F13" s="723"/>
      <c r="G13" s="723"/>
      <c r="H13" s="723"/>
      <c r="I13" s="723"/>
      <c r="J13" s="723"/>
      <c r="K13" s="723"/>
      <c r="L13" s="723"/>
      <c r="M13" s="721"/>
      <c r="N13" s="721"/>
      <c r="O13" s="721"/>
      <c r="P13" s="721"/>
    </row>
    <row r="14" spans="1:38" ht="3.75" customHeight="1" x14ac:dyDescent="0.15">
      <c r="D14" s="670"/>
      <c r="E14" s="670"/>
      <c r="F14" s="670"/>
      <c r="G14" s="670"/>
      <c r="H14" s="670"/>
    </row>
    <row r="15" spans="1:38" ht="18" customHeight="1" x14ac:dyDescent="0.15">
      <c r="A15" s="668" t="s">
        <v>3335</v>
      </c>
      <c r="B15" s="601"/>
      <c r="C15" s="601"/>
      <c r="D15" s="601"/>
      <c r="E15" s="601"/>
      <c r="F15" s="601"/>
      <c r="G15" s="601"/>
      <c r="H15" s="601"/>
      <c r="I15" s="601"/>
      <c r="J15" s="601"/>
      <c r="K15" s="601"/>
      <c r="L15" s="601"/>
      <c r="M15" s="601"/>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3"/>
    </row>
    <row r="16" spans="1:38" ht="20.100000000000001" customHeight="1" x14ac:dyDescent="0.15">
      <c r="A16" s="434"/>
      <c r="B16" s="435"/>
      <c r="C16" s="435"/>
      <c r="D16" s="691" t="s">
        <v>92</v>
      </c>
      <c r="E16" s="691"/>
      <c r="F16" s="691"/>
      <c r="G16" s="691"/>
      <c r="H16" s="691"/>
      <c r="I16" s="700" t="str">
        <f>cst_wskakunin_owner1__space3</f>
        <v>三木　章史</v>
      </c>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c r="AH16" s="701"/>
      <c r="AI16" s="701"/>
      <c r="AJ16" s="702"/>
      <c r="AK16" s="435"/>
      <c r="AL16" s="436"/>
    </row>
    <row r="17" spans="1:38" ht="20.100000000000001" customHeight="1" x14ac:dyDescent="0.15">
      <c r="A17" s="434"/>
      <c r="B17" s="435"/>
      <c r="C17" s="435"/>
      <c r="D17" s="691" t="s">
        <v>5</v>
      </c>
      <c r="E17" s="691"/>
      <c r="F17" s="691"/>
      <c r="G17" s="691"/>
      <c r="H17" s="691"/>
      <c r="I17" s="700" t="str">
        <f>cst_wskakunin_owner1_ZIP</f>
        <v>763-0094</v>
      </c>
      <c r="J17" s="717"/>
      <c r="K17" s="717"/>
      <c r="L17" s="717"/>
      <c r="M17" s="717"/>
      <c r="N17" s="717"/>
      <c r="O17" s="717"/>
      <c r="P17" s="717"/>
      <c r="Q17" s="717"/>
      <c r="R17" s="717"/>
      <c r="S17" s="717"/>
      <c r="T17" s="718"/>
      <c r="U17" s="437"/>
      <c r="V17" s="437"/>
      <c r="W17" s="437"/>
      <c r="X17" s="437"/>
      <c r="Y17" s="437"/>
      <c r="Z17" s="437"/>
      <c r="AA17" s="437"/>
      <c r="AB17" s="437"/>
      <c r="AC17" s="437"/>
      <c r="AD17" s="437"/>
      <c r="AE17" s="437"/>
      <c r="AF17" s="437"/>
      <c r="AG17" s="437"/>
      <c r="AH17" s="435"/>
      <c r="AI17" s="435"/>
      <c r="AJ17" s="435"/>
      <c r="AK17" s="435"/>
      <c r="AL17" s="436"/>
    </row>
    <row r="18" spans="1:38" ht="20.100000000000001" customHeight="1" x14ac:dyDescent="0.15">
      <c r="A18" s="434"/>
      <c r="B18" s="435"/>
      <c r="C18" s="435"/>
      <c r="D18" s="691" t="s">
        <v>6</v>
      </c>
      <c r="E18" s="691"/>
      <c r="F18" s="691"/>
      <c r="G18" s="691"/>
      <c r="H18" s="691"/>
      <c r="I18" s="700" t="str">
        <f>cst_wskakunin_owner1__address</f>
        <v>香川県丸亀市三条町1206番地1　キッシングラミーC棟201号</v>
      </c>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c r="AI18" s="701"/>
      <c r="AJ18" s="702"/>
      <c r="AK18" s="435"/>
      <c r="AL18" s="436"/>
    </row>
    <row r="19" spans="1:38" ht="20.100000000000001" customHeight="1" x14ac:dyDescent="0.15">
      <c r="A19" s="434"/>
      <c r="B19" s="435"/>
      <c r="C19" s="435"/>
      <c r="D19" s="691" t="s">
        <v>7</v>
      </c>
      <c r="E19" s="691"/>
      <c r="F19" s="691"/>
      <c r="G19" s="691"/>
      <c r="H19" s="691"/>
      <c r="I19" s="706" t="str">
        <f>cst_wskakunin_owner1_TEL</f>
        <v>090-5914-2655</v>
      </c>
      <c r="J19" s="707"/>
      <c r="K19" s="707"/>
      <c r="L19" s="707"/>
      <c r="M19" s="707"/>
      <c r="N19" s="719"/>
      <c r="O19" s="719"/>
      <c r="P19" s="719"/>
      <c r="Q19" s="719"/>
      <c r="R19" s="719"/>
      <c r="S19" s="719"/>
      <c r="T19" s="719"/>
      <c r="U19" s="719"/>
      <c r="V19" s="719"/>
      <c r="W19" s="719"/>
      <c r="X19" s="719"/>
      <c r="Y19" s="719"/>
      <c r="Z19" s="720"/>
      <c r="AA19" s="437"/>
      <c r="AB19" s="437"/>
      <c r="AC19" s="437"/>
      <c r="AD19" s="437"/>
      <c r="AE19" s="437"/>
      <c r="AF19" s="437"/>
      <c r="AG19" s="437"/>
      <c r="AH19" s="435"/>
      <c r="AI19" s="435"/>
      <c r="AJ19" s="435"/>
      <c r="AK19" s="435"/>
      <c r="AL19" s="436"/>
    </row>
    <row r="20" spans="1:38" ht="3.75" customHeight="1" x14ac:dyDescent="0.15">
      <c r="A20" s="434"/>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row>
    <row r="21" spans="1:38" ht="18" customHeight="1" x14ac:dyDescent="0.15">
      <c r="A21" s="669" t="s">
        <v>3433</v>
      </c>
      <c r="B21" s="670"/>
      <c r="C21" s="670"/>
      <c r="D21" s="670"/>
      <c r="E21" s="670"/>
      <c r="F21" s="670"/>
      <c r="G21" s="670"/>
      <c r="H21" s="670"/>
      <c r="I21" s="670"/>
      <c r="J21" s="670"/>
      <c r="K21" s="670"/>
      <c r="L21" s="670"/>
      <c r="M21" s="670"/>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6"/>
    </row>
    <row r="22" spans="1:38" ht="20.100000000000001" customHeight="1" x14ac:dyDescent="0.15">
      <c r="A22" s="434"/>
      <c r="B22" s="435"/>
      <c r="C22" s="435"/>
      <c r="D22" s="691" t="s">
        <v>92</v>
      </c>
      <c r="E22" s="691"/>
      <c r="F22" s="691"/>
      <c r="G22" s="691"/>
      <c r="H22" s="691"/>
      <c r="I22" s="700" t="str">
        <f>cst_wskakunin_owner2__space3</f>
        <v>三木　恵</v>
      </c>
      <c r="J22" s="701"/>
      <c r="K22" s="701"/>
      <c r="L22" s="701"/>
      <c r="M22" s="701"/>
      <c r="N22" s="701"/>
      <c r="O22" s="701"/>
      <c r="P22" s="701"/>
      <c r="Q22" s="701"/>
      <c r="R22" s="701"/>
      <c r="S22" s="701"/>
      <c r="T22" s="701"/>
      <c r="U22" s="701"/>
      <c r="V22" s="701"/>
      <c r="W22" s="701"/>
      <c r="X22" s="701"/>
      <c r="Y22" s="701"/>
      <c r="Z22" s="701"/>
      <c r="AA22" s="701"/>
      <c r="AB22" s="701"/>
      <c r="AC22" s="701"/>
      <c r="AD22" s="701"/>
      <c r="AE22" s="701"/>
      <c r="AF22" s="701"/>
      <c r="AG22" s="701"/>
      <c r="AH22" s="701"/>
      <c r="AI22" s="701"/>
      <c r="AJ22" s="702"/>
      <c r="AK22" s="435"/>
      <c r="AL22" s="436"/>
    </row>
    <row r="23" spans="1:38" ht="20.100000000000001" customHeight="1" x14ac:dyDescent="0.15">
      <c r="A23" s="434"/>
      <c r="B23" s="435"/>
      <c r="C23" s="435"/>
      <c r="D23" s="691" t="s">
        <v>5</v>
      </c>
      <c r="E23" s="691"/>
      <c r="F23" s="691"/>
      <c r="G23" s="691"/>
      <c r="H23" s="691"/>
      <c r="I23" s="700" t="str">
        <f>cst_wskakunin_owner2_ZIP</f>
        <v>763-0094</v>
      </c>
      <c r="J23" s="717"/>
      <c r="K23" s="717"/>
      <c r="L23" s="717"/>
      <c r="M23" s="717"/>
      <c r="N23" s="717"/>
      <c r="O23" s="717"/>
      <c r="P23" s="717"/>
      <c r="Q23" s="717"/>
      <c r="R23" s="717"/>
      <c r="S23" s="717"/>
      <c r="T23" s="718"/>
      <c r="U23" s="437"/>
      <c r="V23" s="437"/>
      <c r="W23" s="437"/>
      <c r="X23" s="437"/>
      <c r="Y23" s="437"/>
      <c r="Z23" s="437"/>
      <c r="AA23" s="437"/>
      <c r="AB23" s="437"/>
      <c r="AC23" s="437"/>
      <c r="AD23" s="437"/>
      <c r="AE23" s="437"/>
      <c r="AF23" s="437"/>
      <c r="AG23" s="437"/>
      <c r="AH23" s="435"/>
      <c r="AI23" s="435"/>
      <c r="AJ23" s="435"/>
      <c r="AK23" s="435"/>
      <c r="AL23" s="436"/>
    </row>
    <row r="24" spans="1:38" ht="20.100000000000001" customHeight="1" x14ac:dyDescent="0.15">
      <c r="A24" s="434"/>
      <c r="B24" s="435"/>
      <c r="C24" s="435"/>
      <c r="D24" s="691" t="s">
        <v>6</v>
      </c>
      <c r="E24" s="691"/>
      <c r="F24" s="691"/>
      <c r="G24" s="691"/>
      <c r="H24" s="691"/>
      <c r="I24" s="700" t="str">
        <f>cst_wskakunin_owner2__address</f>
        <v>香川県丸亀市三条町1206番地1　キッシングラミーC棟201号</v>
      </c>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701"/>
      <c r="AH24" s="701"/>
      <c r="AI24" s="701"/>
      <c r="AJ24" s="702"/>
      <c r="AK24" s="435"/>
      <c r="AL24" s="436"/>
    </row>
    <row r="25" spans="1:38" ht="20.100000000000001" customHeight="1" x14ac:dyDescent="0.15">
      <c r="A25" s="434"/>
      <c r="B25" s="435"/>
      <c r="C25" s="435"/>
      <c r="D25" s="691" t="s">
        <v>7</v>
      </c>
      <c r="E25" s="691"/>
      <c r="F25" s="691"/>
      <c r="G25" s="691"/>
      <c r="H25" s="691"/>
      <c r="I25" s="706" t="str">
        <f>cst_wskakunin_owner2_TEL</f>
        <v>090-5718-4090</v>
      </c>
      <c r="J25" s="707"/>
      <c r="K25" s="707"/>
      <c r="L25" s="707"/>
      <c r="M25" s="707"/>
      <c r="N25" s="719"/>
      <c r="O25" s="719"/>
      <c r="P25" s="719"/>
      <c r="Q25" s="719"/>
      <c r="R25" s="719"/>
      <c r="S25" s="719"/>
      <c r="T25" s="719"/>
      <c r="U25" s="719"/>
      <c r="V25" s="719"/>
      <c r="W25" s="719"/>
      <c r="X25" s="719"/>
      <c r="Y25" s="719"/>
      <c r="Z25" s="720"/>
      <c r="AA25" s="437"/>
      <c r="AB25" s="437"/>
      <c r="AC25" s="437"/>
      <c r="AD25" s="437"/>
      <c r="AE25" s="437"/>
      <c r="AF25" s="437"/>
      <c r="AG25" s="437"/>
      <c r="AH25" s="435"/>
      <c r="AI25" s="435"/>
      <c r="AJ25" s="435"/>
      <c r="AK25" s="435"/>
      <c r="AL25" s="436"/>
    </row>
    <row r="26" spans="1:38" ht="3.75" customHeight="1" x14ac:dyDescent="0.15">
      <c r="A26" s="434"/>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6"/>
    </row>
    <row r="27" spans="1:38" ht="18" customHeight="1" x14ac:dyDescent="0.15">
      <c r="A27" s="434" t="s">
        <v>3336</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row>
    <row r="28" spans="1:38" ht="20.100000000000001" customHeight="1" x14ac:dyDescent="0.15">
      <c r="A28" s="434"/>
      <c r="B28" s="435"/>
      <c r="C28" s="435"/>
      <c r="D28" s="691" t="s">
        <v>92</v>
      </c>
      <c r="E28" s="691"/>
      <c r="F28" s="691"/>
      <c r="G28" s="691"/>
      <c r="H28" s="691"/>
      <c r="I28" s="700" t="str">
        <f>cst_wskakunin_sekou1_NAME</f>
        <v>松坂　直樹</v>
      </c>
      <c r="J28" s="701"/>
      <c r="K28" s="701"/>
      <c r="L28" s="701"/>
      <c r="M28" s="701"/>
      <c r="N28" s="701"/>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5"/>
      <c r="AL28" s="436"/>
    </row>
    <row r="29" spans="1:38" ht="20.100000000000001" customHeight="1" x14ac:dyDescent="0.15">
      <c r="A29" s="434"/>
      <c r="B29" s="435"/>
      <c r="C29" s="435"/>
      <c r="D29" s="588" t="s">
        <v>2988</v>
      </c>
      <c r="E29" s="581"/>
      <c r="F29" s="581"/>
      <c r="G29" s="581"/>
      <c r="H29" s="581"/>
      <c r="I29" s="615"/>
      <c r="J29" s="615"/>
      <c r="K29" s="615"/>
      <c r="L29" s="615"/>
      <c r="M29" s="615"/>
      <c r="N29" s="615"/>
      <c r="O29" s="673"/>
      <c r="P29" s="700" t="str">
        <f>cst_wskakunin_sekou1_JIMU_NAME</f>
        <v>株式会社コラボハウス</v>
      </c>
      <c r="Q29" s="701"/>
      <c r="R29" s="701"/>
      <c r="S29" s="701"/>
      <c r="T29" s="701"/>
      <c r="U29" s="701"/>
      <c r="V29" s="701"/>
      <c r="W29" s="701"/>
      <c r="X29" s="701"/>
      <c r="Y29" s="701"/>
      <c r="Z29" s="701"/>
      <c r="AA29" s="701"/>
      <c r="AB29" s="701"/>
      <c r="AC29" s="701"/>
      <c r="AD29" s="701"/>
      <c r="AE29" s="701"/>
      <c r="AF29" s="701"/>
      <c r="AG29" s="701"/>
      <c r="AH29" s="701"/>
      <c r="AI29" s="701"/>
      <c r="AJ29" s="702"/>
      <c r="AK29" s="435"/>
      <c r="AL29" s="436"/>
    </row>
    <row r="30" spans="1:38" ht="20.100000000000001" customHeight="1" x14ac:dyDescent="0.15">
      <c r="A30" s="434"/>
      <c r="B30" s="435"/>
      <c r="C30" s="435"/>
      <c r="D30" s="691" t="s">
        <v>5</v>
      </c>
      <c r="E30" s="691"/>
      <c r="F30" s="691"/>
      <c r="G30" s="691"/>
      <c r="H30" s="691"/>
      <c r="I30" s="700" t="str">
        <f>cst_wskakunin_sekou1_ZIP</f>
        <v>790-0916</v>
      </c>
      <c r="J30" s="701"/>
      <c r="K30" s="701"/>
      <c r="L30" s="701"/>
      <c r="M30" s="701"/>
      <c r="N30" s="712"/>
      <c r="O30" s="712"/>
      <c r="P30" s="712"/>
      <c r="Q30" s="712"/>
      <c r="R30" s="712"/>
      <c r="S30" s="712"/>
      <c r="T30" s="713"/>
      <c r="U30" s="437"/>
      <c r="V30" s="437"/>
      <c r="W30" s="437"/>
      <c r="X30" s="437"/>
      <c r="Y30" s="437"/>
      <c r="Z30" s="437"/>
      <c r="AA30" s="437"/>
      <c r="AB30" s="437"/>
      <c r="AC30" s="437"/>
      <c r="AD30" s="437"/>
      <c r="AE30" s="437"/>
      <c r="AF30" s="437"/>
      <c r="AG30" s="437"/>
      <c r="AH30" s="435"/>
      <c r="AI30" s="435"/>
      <c r="AJ30" s="435"/>
      <c r="AK30" s="435"/>
      <c r="AL30" s="436"/>
    </row>
    <row r="31" spans="1:38" ht="20.100000000000001" customHeight="1" x14ac:dyDescent="0.15">
      <c r="A31" s="434"/>
      <c r="B31" s="435"/>
      <c r="C31" s="435"/>
      <c r="D31" s="691" t="s">
        <v>8</v>
      </c>
      <c r="E31" s="691"/>
      <c r="F31" s="691"/>
      <c r="G31" s="691"/>
      <c r="H31" s="691"/>
      <c r="I31" s="700" t="str">
        <f>cst_wskakunin_sekou1__address</f>
        <v>愛媛県松山市束本1丁目6-10 2F</v>
      </c>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2"/>
      <c r="AK31" s="435"/>
      <c r="AL31" s="436"/>
    </row>
    <row r="32" spans="1:38" ht="20.100000000000001" customHeight="1" x14ac:dyDescent="0.15">
      <c r="A32" s="434"/>
      <c r="B32" s="435"/>
      <c r="C32" s="435"/>
      <c r="D32" s="691" t="s">
        <v>7</v>
      </c>
      <c r="E32" s="691"/>
      <c r="F32" s="691"/>
      <c r="G32" s="691"/>
      <c r="H32" s="691"/>
      <c r="I32" s="706" t="str">
        <f>cst_wskakunin_sekou1_TEL</f>
        <v>089-947-1313</v>
      </c>
      <c r="J32" s="707"/>
      <c r="K32" s="707"/>
      <c r="L32" s="707"/>
      <c r="M32" s="707"/>
      <c r="N32" s="708"/>
      <c r="O32" s="708"/>
      <c r="P32" s="708"/>
      <c r="Q32" s="708"/>
      <c r="R32" s="708"/>
      <c r="S32" s="708"/>
      <c r="T32" s="708"/>
      <c r="U32" s="708"/>
      <c r="V32" s="708"/>
      <c r="W32" s="708"/>
      <c r="X32" s="708"/>
      <c r="Y32" s="708"/>
      <c r="Z32" s="709"/>
      <c r="AA32" s="440"/>
      <c r="AB32" s="437"/>
      <c r="AC32" s="437"/>
      <c r="AD32" s="437"/>
      <c r="AE32" s="437"/>
      <c r="AF32" s="437"/>
      <c r="AG32" s="437"/>
      <c r="AH32" s="435"/>
      <c r="AI32" s="435"/>
      <c r="AJ32" s="435"/>
      <c r="AK32" s="435"/>
      <c r="AL32" s="436"/>
    </row>
    <row r="33" spans="1:38" ht="20.100000000000001" customHeight="1" x14ac:dyDescent="0.15">
      <c r="A33" s="434"/>
      <c r="B33" s="435"/>
      <c r="C33" s="435"/>
      <c r="D33" s="588" t="s">
        <v>3337</v>
      </c>
      <c r="E33" s="581"/>
      <c r="F33" s="581"/>
      <c r="G33" s="581"/>
      <c r="H33" s="581"/>
      <c r="I33" s="581"/>
      <c r="J33" s="581"/>
      <c r="K33" s="714"/>
      <c r="L33" s="715"/>
      <c r="M33" s="715"/>
      <c r="N33" s="715"/>
      <c r="O33" s="715"/>
      <c r="P33" s="715"/>
      <c r="Q33" s="715"/>
      <c r="R33" s="715"/>
      <c r="S33" s="715"/>
      <c r="T33" s="715"/>
      <c r="U33" s="715"/>
      <c r="V33" s="715"/>
      <c r="W33" s="715"/>
      <c r="X33" s="715"/>
      <c r="Y33" s="715"/>
      <c r="Z33" s="715"/>
      <c r="AA33" s="715"/>
      <c r="AB33" s="715"/>
      <c r="AC33" s="715"/>
      <c r="AD33" s="715"/>
      <c r="AE33" s="715"/>
      <c r="AF33" s="715"/>
      <c r="AG33" s="715"/>
      <c r="AH33" s="715"/>
      <c r="AI33" s="715"/>
      <c r="AJ33" s="716"/>
      <c r="AK33" s="435"/>
      <c r="AL33" s="436"/>
    </row>
    <row r="34" spans="1:38" ht="20.100000000000001" customHeight="1" x14ac:dyDescent="0.15">
      <c r="A34" s="434"/>
      <c r="B34" s="435"/>
      <c r="C34" s="435"/>
      <c r="D34" s="588" t="s">
        <v>3338</v>
      </c>
      <c r="E34" s="581"/>
      <c r="F34" s="581"/>
      <c r="G34" s="581"/>
      <c r="H34" s="581"/>
      <c r="I34" s="581"/>
      <c r="J34" s="589"/>
      <c r="K34" s="688"/>
      <c r="L34" s="689"/>
      <c r="M34" s="689"/>
      <c r="N34" s="689"/>
      <c r="O34" s="689"/>
      <c r="P34" s="442" t="s">
        <v>3339</v>
      </c>
      <c r="Q34" s="689"/>
      <c r="R34" s="689"/>
      <c r="S34" s="689"/>
      <c r="T34" s="689"/>
      <c r="U34" s="689"/>
      <c r="V34" s="442" t="s">
        <v>3339</v>
      </c>
      <c r="W34" s="689"/>
      <c r="X34" s="689"/>
      <c r="Y34" s="689"/>
      <c r="Z34" s="689"/>
      <c r="AA34" s="689"/>
      <c r="AB34" s="690"/>
      <c r="AC34" s="443"/>
      <c r="AD34" s="443"/>
      <c r="AE34" s="443"/>
      <c r="AF34" s="443"/>
      <c r="AG34" s="443"/>
      <c r="AH34" s="443"/>
      <c r="AI34" s="443"/>
      <c r="AJ34" s="443"/>
      <c r="AK34" s="435"/>
      <c r="AL34" s="436"/>
    </row>
    <row r="35" spans="1:38" ht="3.75" customHeight="1" x14ac:dyDescent="0.15">
      <c r="A35" s="434"/>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6"/>
    </row>
    <row r="36" spans="1:38" ht="18" customHeight="1" x14ac:dyDescent="0.15">
      <c r="A36" s="434" t="s">
        <v>3340</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6"/>
    </row>
    <row r="37" spans="1:38" ht="20.100000000000001" customHeight="1" x14ac:dyDescent="0.15">
      <c r="A37" s="434"/>
      <c r="B37" s="435"/>
      <c r="C37" s="435"/>
      <c r="D37" s="691" t="s">
        <v>92</v>
      </c>
      <c r="E37" s="691"/>
      <c r="F37" s="691"/>
      <c r="G37" s="691"/>
      <c r="H37" s="691"/>
      <c r="I37" s="700" t="str">
        <f>cst_wskakunin_kanri1_NAME</f>
        <v>白形　真</v>
      </c>
      <c r="J37" s="701"/>
      <c r="K37" s="701"/>
      <c r="L37" s="701"/>
      <c r="M37" s="701"/>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2"/>
      <c r="AK37" s="435"/>
      <c r="AL37" s="436"/>
    </row>
    <row r="38" spans="1:38" ht="20.100000000000001" customHeight="1" x14ac:dyDescent="0.15">
      <c r="A38" s="434"/>
      <c r="B38" s="435"/>
      <c r="C38" s="435"/>
      <c r="D38" s="588" t="s">
        <v>2988</v>
      </c>
      <c r="E38" s="581"/>
      <c r="F38" s="581"/>
      <c r="G38" s="581"/>
      <c r="H38" s="581"/>
      <c r="I38" s="581"/>
      <c r="J38" s="581"/>
      <c r="K38" s="581"/>
      <c r="L38" s="581"/>
      <c r="M38" s="581"/>
      <c r="N38" s="581"/>
      <c r="O38" s="589"/>
      <c r="P38" s="700" t="str">
        <f>cst_wskakunin_kanri1_JIMU_NAME</f>
        <v>株式会社コラボハウス一級建築士事務所</v>
      </c>
      <c r="Q38" s="701"/>
      <c r="R38" s="701"/>
      <c r="S38" s="701"/>
      <c r="T38" s="701"/>
      <c r="U38" s="701"/>
      <c r="V38" s="701"/>
      <c r="W38" s="701"/>
      <c r="X38" s="701"/>
      <c r="Y38" s="701"/>
      <c r="Z38" s="701"/>
      <c r="AA38" s="701"/>
      <c r="AB38" s="701"/>
      <c r="AC38" s="701"/>
      <c r="AD38" s="701"/>
      <c r="AE38" s="701"/>
      <c r="AF38" s="701"/>
      <c r="AG38" s="701"/>
      <c r="AH38" s="701"/>
      <c r="AI38" s="701"/>
      <c r="AJ38" s="702"/>
      <c r="AK38" s="435"/>
      <c r="AL38" s="436"/>
    </row>
    <row r="39" spans="1:38" ht="20.100000000000001" customHeight="1" x14ac:dyDescent="0.15">
      <c r="A39" s="434"/>
      <c r="B39" s="435"/>
      <c r="C39" s="435"/>
      <c r="D39" s="691" t="s">
        <v>5</v>
      </c>
      <c r="E39" s="691"/>
      <c r="F39" s="691"/>
      <c r="G39" s="691"/>
      <c r="H39" s="691"/>
      <c r="I39" s="700" t="str">
        <f>cst_wskakunin_kanri1_ZIP</f>
        <v>790-0916</v>
      </c>
      <c r="J39" s="701"/>
      <c r="K39" s="701"/>
      <c r="L39" s="701"/>
      <c r="M39" s="701"/>
      <c r="N39" s="712"/>
      <c r="O39" s="712"/>
      <c r="P39" s="712"/>
      <c r="Q39" s="712"/>
      <c r="R39" s="712"/>
      <c r="S39" s="712"/>
      <c r="T39" s="713"/>
      <c r="U39" s="437"/>
      <c r="V39" s="437"/>
      <c r="W39" s="437"/>
      <c r="X39" s="437"/>
      <c r="Y39" s="437"/>
      <c r="Z39" s="437"/>
      <c r="AA39" s="437"/>
      <c r="AB39" s="437"/>
      <c r="AC39" s="437"/>
      <c r="AD39" s="437"/>
      <c r="AE39" s="437"/>
      <c r="AF39" s="437"/>
      <c r="AG39" s="437"/>
      <c r="AH39" s="435"/>
      <c r="AI39" s="435"/>
      <c r="AJ39" s="435"/>
      <c r="AK39" s="435"/>
      <c r="AL39" s="436"/>
    </row>
    <row r="40" spans="1:38" ht="20.100000000000001" customHeight="1" x14ac:dyDescent="0.15">
      <c r="A40" s="434"/>
      <c r="B40" s="435"/>
      <c r="C40" s="435"/>
      <c r="D40" s="588" t="s">
        <v>8</v>
      </c>
      <c r="E40" s="581"/>
      <c r="F40" s="581"/>
      <c r="G40" s="581"/>
      <c r="H40" s="589"/>
      <c r="I40" s="700" t="str">
        <f>cst_wskakunin_kanri1__address</f>
        <v>愛媛県松山市束本1丁目6-10　2F</v>
      </c>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2"/>
      <c r="AK40" s="435"/>
      <c r="AL40" s="436"/>
    </row>
    <row r="41" spans="1:38" ht="20.100000000000001" customHeight="1" x14ac:dyDescent="0.15">
      <c r="A41" s="434"/>
      <c r="B41" s="435"/>
      <c r="C41" s="435"/>
      <c r="D41" s="691" t="s">
        <v>7</v>
      </c>
      <c r="E41" s="691"/>
      <c r="F41" s="691"/>
      <c r="G41" s="691"/>
      <c r="H41" s="691"/>
      <c r="I41" s="706" t="str">
        <f>cst_wskakunin_kanri1_TEL</f>
        <v>089-947-1313</v>
      </c>
      <c r="J41" s="707"/>
      <c r="K41" s="707"/>
      <c r="L41" s="707"/>
      <c r="M41" s="707"/>
      <c r="N41" s="708"/>
      <c r="O41" s="708"/>
      <c r="P41" s="708"/>
      <c r="Q41" s="708"/>
      <c r="R41" s="708"/>
      <c r="S41" s="708"/>
      <c r="T41" s="708"/>
      <c r="U41" s="708"/>
      <c r="V41" s="708"/>
      <c r="W41" s="708"/>
      <c r="X41" s="708"/>
      <c r="Y41" s="708"/>
      <c r="Z41" s="709"/>
      <c r="AA41" s="437"/>
      <c r="AB41" s="437"/>
      <c r="AC41" s="437"/>
      <c r="AD41" s="437"/>
      <c r="AE41" s="437"/>
      <c r="AF41" s="437"/>
      <c r="AG41" s="437"/>
      <c r="AH41" s="435"/>
      <c r="AI41" s="435"/>
      <c r="AJ41" s="435"/>
      <c r="AK41" s="435"/>
      <c r="AL41" s="436"/>
    </row>
    <row r="42" spans="1:38" ht="3.75" customHeight="1" x14ac:dyDescent="0.15">
      <c r="A42" s="43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6"/>
    </row>
    <row r="43" spans="1:38" ht="18" customHeight="1" x14ac:dyDescent="0.15">
      <c r="A43" s="669" t="s">
        <v>3341</v>
      </c>
      <c r="B43" s="670"/>
      <c r="C43" s="670"/>
      <c r="D43" s="670"/>
      <c r="E43" s="670"/>
      <c r="F43" s="670"/>
      <c r="G43" s="670"/>
      <c r="H43" s="670"/>
      <c r="I43" s="670"/>
      <c r="J43" s="670"/>
      <c r="K43" s="670"/>
      <c r="L43" s="670"/>
      <c r="M43" s="670"/>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6"/>
    </row>
    <row r="44" spans="1:38" ht="24.6" customHeight="1" x14ac:dyDescent="0.15">
      <c r="A44" s="434"/>
      <c r="B44" s="435"/>
      <c r="C44" s="436"/>
      <c r="D44" s="588" t="s">
        <v>10</v>
      </c>
      <c r="E44" s="581"/>
      <c r="F44" s="581"/>
      <c r="G44" s="581"/>
      <c r="H44" s="581"/>
      <c r="I44" s="581"/>
      <c r="J44" s="581"/>
      <c r="K44" s="589"/>
      <c r="L44" s="710"/>
      <c r="M44" s="587"/>
      <c r="N44" s="587"/>
      <c r="O44" s="587" t="s">
        <v>438</v>
      </c>
      <c r="P44" s="587"/>
      <c r="Q44" s="711" t="str">
        <f>cst_shinsei_ISSUE_NO</f>
        <v/>
      </c>
      <c r="R44" s="711"/>
      <c r="S44" s="711"/>
      <c r="T44" s="711"/>
      <c r="U44" s="711"/>
      <c r="V44" s="711"/>
      <c r="W44" s="711"/>
      <c r="X44" s="711"/>
      <c r="Y44" s="711"/>
      <c r="Z44" s="711"/>
      <c r="AA44" s="711"/>
      <c r="AB44" s="711"/>
      <c r="AC44" s="711"/>
      <c r="AD44" s="587" t="s">
        <v>439</v>
      </c>
      <c r="AE44" s="703"/>
      <c r="AF44" s="435"/>
      <c r="AG44" s="435"/>
      <c r="AH44" s="435"/>
      <c r="AI44" s="435"/>
      <c r="AJ44" s="435"/>
      <c r="AK44" s="435"/>
      <c r="AL44" s="436"/>
    </row>
    <row r="45" spans="1:38" ht="20.100000000000001" customHeight="1" x14ac:dyDescent="0.15">
      <c r="A45" s="434"/>
      <c r="B45" s="435"/>
      <c r="C45" s="436"/>
      <c r="D45" s="582" t="s">
        <v>11</v>
      </c>
      <c r="E45" s="583"/>
      <c r="F45" s="583"/>
      <c r="G45" s="583"/>
      <c r="H45" s="583"/>
      <c r="I45" s="583"/>
      <c r="J45" s="583"/>
      <c r="K45" s="584"/>
      <c r="L45" s="704" t="str">
        <f ca="1">IF(shinsei_ISSUE_DATE="",TEXT(TODAY(),"ggg"),shinsei_ISSUE_DATE)</f>
        <v>令和</v>
      </c>
      <c r="M45" s="679"/>
      <c r="N45" s="680" t="str">
        <f>cst_shinsei_ISSUE_DATE</f>
        <v/>
      </c>
      <c r="O45" s="705"/>
      <c r="P45" s="705"/>
      <c r="Q45" s="705"/>
      <c r="R45" s="435" t="s">
        <v>436</v>
      </c>
      <c r="S45" s="682" t="str">
        <f>cst_shinsei_ISSUE_DATE</f>
        <v/>
      </c>
      <c r="T45" s="682"/>
      <c r="U45" s="682"/>
      <c r="V45" s="682"/>
      <c r="W45" s="435" t="s">
        <v>0</v>
      </c>
      <c r="X45" s="683" t="str">
        <f>cst_shinsei_ISSUE_DATE</f>
        <v/>
      </c>
      <c r="Y45" s="683"/>
      <c r="Z45" s="683"/>
      <c r="AA45" s="683"/>
      <c r="AB45" s="435" t="s">
        <v>437</v>
      </c>
      <c r="AC45" s="446"/>
      <c r="AD45" s="446"/>
      <c r="AE45" s="447"/>
      <c r="AF45" s="435"/>
      <c r="AG45" s="435"/>
      <c r="AH45" s="435"/>
      <c r="AI45" s="435"/>
      <c r="AJ45" s="435"/>
      <c r="AK45" s="435"/>
      <c r="AL45" s="436"/>
    </row>
    <row r="46" spans="1:38" ht="20.100000000000001" customHeight="1" x14ac:dyDescent="0.15">
      <c r="A46" s="434"/>
      <c r="B46" s="435"/>
      <c r="C46" s="436"/>
      <c r="D46" s="588" t="s">
        <v>472</v>
      </c>
      <c r="E46" s="581"/>
      <c r="F46" s="581"/>
      <c r="G46" s="581"/>
      <c r="H46" s="581"/>
      <c r="I46" s="581"/>
      <c r="J46" s="581"/>
      <c r="K46" s="589"/>
      <c r="L46" s="700" t="str">
        <f>cst_shinsei_ISSUE_KOUFU_NAME</f>
        <v/>
      </c>
      <c r="M46" s="701"/>
      <c r="N46" s="701"/>
      <c r="O46" s="701"/>
      <c r="P46" s="701"/>
      <c r="Q46" s="701"/>
      <c r="R46" s="701"/>
      <c r="S46" s="701"/>
      <c r="T46" s="701"/>
      <c r="U46" s="701"/>
      <c r="V46" s="701"/>
      <c r="W46" s="701"/>
      <c r="X46" s="701"/>
      <c r="Y46" s="701"/>
      <c r="Z46" s="701"/>
      <c r="AA46" s="701"/>
      <c r="AB46" s="701"/>
      <c r="AC46" s="701"/>
      <c r="AD46" s="701"/>
      <c r="AE46" s="702"/>
      <c r="AF46" s="437"/>
      <c r="AG46" s="437"/>
      <c r="AH46" s="435"/>
      <c r="AI46" s="435"/>
      <c r="AJ46" s="435"/>
      <c r="AK46" s="435"/>
      <c r="AL46" s="436"/>
    </row>
    <row r="47" spans="1:38" ht="3.75" customHeight="1" x14ac:dyDescent="0.15">
      <c r="A47" s="434"/>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6"/>
    </row>
    <row r="48" spans="1:38" ht="18" customHeight="1" x14ac:dyDescent="0.15">
      <c r="A48" s="669" t="s">
        <v>3342</v>
      </c>
      <c r="B48" s="670"/>
      <c r="C48" s="670"/>
      <c r="D48" s="670"/>
      <c r="E48" s="670"/>
      <c r="F48" s="670"/>
      <c r="G48" s="670"/>
      <c r="H48" s="670"/>
      <c r="I48" s="670"/>
      <c r="J48" s="670"/>
      <c r="K48" s="670"/>
      <c r="L48" s="670"/>
      <c r="M48" s="670"/>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6"/>
    </row>
    <row r="49" spans="1:38" ht="20.100000000000001" customHeight="1" x14ac:dyDescent="0.15">
      <c r="A49" s="434"/>
      <c r="B49" s="435"/>
      <c r="C49" s="435"/>
      <c r="D49" s="691" t="s">
        <v>92</v>
      </c>
      <c r="E49" s="691"/>
      <c r="F49" s="691"/>
      <c r="G49" s="691"/>
      <c r="H49" s="691"/>
      <c r="I49" s="695"/>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7"/>
      <c r="AK49" s="435"/>
      <c r="AL49" s="436"/>
    </row>
    <row r="50" spans="1:38" ht="20.100000000000001" customHeight="1" x14ac:dyDescent="0.15">
      <c r="A50" s="434"/>
      <c r="B50" s="435"/>
      <c r="C50" s="435"/>
      <c r="D50" s="691" t="s">
        <v>104</v>
      </c>
      <c r="E50" s="691"/>
      <c r="F50" s="691"/>
      <c r="G50" s="691"/>
      <c r="H50" s="691"/>
      <c r="I50" s="695"/>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7"/>
      <c r="AK50" s="435"/>
      <c r="AL50" s="436"/>
    </row>
    <row r="51" spans="1:38" ht="20.100000000000001" customHeight="1" x14ac:dyDescent="0.15">
      <c r="A51" s="434"/>
      <c r="B51" s="435"/>
      <c r="C51" s="435"/>
      <c r="D51" s="691" t="s">
        <v>5</v>
      </c>
      <c r="E51" s="691"/>
      <c r="F51" s="691"/>
      <c r="G51" s="691"/>
      <c r="H51" s="691"/>
      <c r="I51" s="692"/>
      <c r="J51" s="693"/>
      <c r="K51" s="693"/>
      <c r="L51" s="693"/>
      <c r="M51" s="693"/>
      <c r="N51" s="516" t="s">
        <v>3339</v>
      </c>
      <c r="O51" s="693"/>
      <c r="P51" s="693"/>
      <c r="Q51" s="693"/>
      <c r="R51" s="693"/>
      <c r="S51" s="693"/>
      <c r="T51" s="694"/>
      <c r="U51" s="437"/>
      <c r="V51" s="437"/>
      <c r="W51" s="437"/>
      <c r="X51" s="437"/>
      <c r="Y51" s="437"/>
      <c r="Z51" s="437"/>
      <c r="AA51" s="437"/>
      <c r="AB51" s="437"/>
      <c r="AC51" s="437"/>
      <c r="AD51" s="437"/>
      <c r="AE51" s="437"/>
      <c r="AF51" s="437"/>
      <c r="AG51" s="437"/>
      <c r="AH51" s="435"/>
      <c r="AI51" s="435"/>
      <c r="AJ51" s="435"/>
      <c r="AK51" s="435"/>
      <c r="AL51" s="436"/>
    </row>
    <row r="52" spans="1:38" ht="20.100000000000001" customHeight="1" x14ac:dyDescent="0.15">
      <c r="A52" s="434"/>
      <c r="B52" s="435"/>
      <c r="C52" s="435"/>
      <c r="D52" s="691" t="s">
        <v>8</v>
      </c>
      <c r="E52" s="691"/>
      <c r="F52" s="691"/>
      <c r="G52" s="691"/>
      <c r="H52" s="691"/>
      <c r="I52" s="695"/>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7"/>
      <c r="AK52" s="435"/>
      <c r="AL52" s="436"/>
    </row>
    <row r="53" spans="1:38" ht="20.100000000000001" customHeight="1" x14ac:dyDescent="0.15">
      <c r="A53" s="434"/>
      <c r="B53" s="435"/>
      <c r="C53" s="435"/>
      <c r="D53" s="691" t="s">
        <v>7</v>
      </c>
      <c r="E53" s="691"/>
      <c r="F53" s="691"/>
      <c r="G53" s="691"/>
      <c r="H53" s="691"/>
      <c r="I53" s="688"/>
      <c r="J53" s="689"/>
      <c r="K53" s="689"/>
      <c r="L53" s="689"/>
      <c r="M53" s="689"/>
      <c r="N53" s="515" t="s">
        <v>3339</v>
      </c>
      <c r="O53" s="698"/>
      <c r="P53" s="698"/>
      <c r="Q53" s="698"/>
      <c r="R53" s="698"/>
      <c r="S53" s="698"/>
      <c r="T53" s="515" t="s">
        <v>3339</v>
      </c>
      <c r="U53" s="698"/>
      <c r="V53" s="698"/>
      <c r="W53" s="698"/>
      <c r="X53" s="698"/>
      <c r="Y53" s="698"/>
      <c r="Z53" s="699"/>
      <c r="AA53" s="437"/>
      <c r="AB53" s="437"/>
      <c r="AC53" s="437"/>
      <c r="AD53" s="437"/>
      <c r="AE53" s="437"/>
      <c r="AF53" s="437"/>
      <c r="AG53" s="437"/>
      <c r="AH53" s="435"/>
      <c r="AI53" s="435"/>
      <c r="AJ53" s="435"/>
      <c r="AK53" s="435"/>
      <c r="AL53" s="436"/>
    </row>
    <row r="54" spans="1:38" ht="20.100000000000001" customHeight="1" x14ac:dyDescent="0.15">
      <c r="A54" s="434"/>
      <c r="B54" s="435"/>
      <c r="C54" s="435"/>
      <c r="D54" s="588" t="s">
        <v>3337</v>
      </c>
      <c r="E54" s="581"/>
      <c r="F54" s="581"/>
      <c r="G54" s="581"/>
      <c r="H54" s="581"/>
      <c r="I54" s="581"/>
      <c r="J54" s="581"/>
      <c r="K54" s="685"/>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687"/>
      <c r="AK54" s="435"/>
      <c r="AL54" s="436"/>
    </row>
    <row r="55" spans="1:38" ht="20.100000000000001" customHeight="1" x14ac:dyDescent="0.15">
      <c r="A55" s="434"/>
      <c r="B55" s="435"/>
      <c r="C55" s="435"/>
      <c r="D55" s="588" t="s">
        <v>3338</v>
      </c>
      <c r="E55" s="581"/>
      <c r="F55" s="581"/>
      <c r="G55" s="581"/>
      <c r="H55" s="581"/>
      <c r="I55" s="581"/>
      <c r="J55" s="589"/>
      <c r="K55" s="688"/>
      <c r="L55" s="689"/>
      <c r="M55" s="689"/>
      <c r="N55" s="689"/>
      <c r="O55" s="689"/>
      <c r="P55" s="515" t="s">
        <v>3339</v>
      </c>
      <c r="Q55" s="689"/>
      <c r="R55" s="689"/>
      <c r="S55" s="689"/>
      <c r="T55" s="689"/>
      <c r="U55" s="689"/>
      <c r="V55" s="515" t="s">
        <v>3339</v>
      </c>
      <c r="W55" s="689"/>
      <c r="X55" s="689"/>
      <c r="Y55" s="689"/>
      <c r="Z55" s="689"/>
      <c r="AA55" s="689"/>
      <c r="AB55" s="690"/>
      <c r="AC55" s="443"/>
      <c r="AD55" s="443"/>
      <c r="AE55" s="443"/>
      <c r="AF55" s="443"/>
      <c r="AG55" s="443"/>
      <c r="AH55" s="443"/>
      <c r="AI55" s="443"/>
      <c r="AJ55" s="443"/>
      <c r="AK55" s="435"/>
      <c r="AL55" s="436"/>
    </row>
    <row r="56" spans="1:38" ht="5.25" customHeight="1" x14ac:dyDescent="0.15">
      <c r="A56" s="448"/>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50"/>
    </row>
    <row r="57" spans="1:38" ht="5.25" customHeight="1" x14ac:dyDescent="0.15">
      <c r="A57" s="435"/>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435"/>
      <c r="AL57" s="435"/>
    </row>
    <row r="58" spans="1:38" ht="15" customHeight="1" x14ac:dyDescent="0.15">
      <c r="A58" s="670" t="s">
        <v>3343</v>
      </c>
      <c r="B58" s="670"/>
      <c r="C58" s="670"/>
      <c r="D58" s="670"/>
      <c r="E58" s="670"/>
      <c r="F58" s="670"/>
      <c r="G58" s="670"/>
      <c r="H58" s="670"/>
      <c r="I58" s="670"/>
      <c r="J58" s="670"/>
      <c r="K58" s="670"/>
      <c r="L58" s="670"/>
      <c r="M58" s="670"/>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row>
    <row r="59" spans="1:38" ht="15" customHeight="1" x14ac:dyDescent="0.15">
      <c r="A59" s="684"/>
      <c r="B59" s="684"/>
      <c r="C59" s="684"/>
      <c r="D59" s="684"/>
      <c r="E59" s="684"/>
      <c r="F59" s="684"/>
      <c r="G59" s="684"/>
      <c r="H59" s="684"/>
      <c r="I59" s="684"/>
      <c r="J59" s="684"/>
      <c r="K59" s="684"/>
      <c r="L59" s="684"/>
      <c r="M59" s="684"/>
      <c r="N59" s="684"/>
      <c r="O59" s="684"/>
      <c r="P59" s="684"/>
      <c r="Q59" s="684"/>
      <c r="R59" s="684"/>
      <c r="S59" s="684"/>
      <c r="T59" s="684"/>
      <c r="U59" s="684"/>
      <c r="V59" s="684"/>
      <c r="W59" s="684"/>
      <c r="X59" s="684"/>
      <c r="Y59" s="684"/>
      <c r="Z59" s="684"/>
      <c r="AA59" s="684"/>
      <c r="AB59" s="684"/>
      <c r="AC59" s="684"/>
      <c r="AD59" s="684"/>
      <c r="AE59" s="684"/>
      <c r="AF59" s="684"/>
      <c r="AG59" s="684"/>
      <c r="AH59" s="684"/>
      <c r="AI59" s="684"/>
      <c r="AJ59" s="684"/>
      <c r="AK59" s="443"/>
      <c r="AL59" s="443"/>
    </row>
    <row r="60" spans="1:38" ht="15" customHeight="1" x14ac:dyDescent="0.15">
      <c r="A60" s="684"/>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443"/>
      <c r="AL60" s="443"/>
    </row>
    <row r="61" spans="1:38" ht="15" customHeight="1" x14ac:dyDescent="0.15">
      <c r="A61" s="684"/>
      <c r="B61" s="684"/>
      <c r="C61" s="684"/>
      <c r="D61" s="684"/>
      <c r="E61" s="684"/>
      <c r="F61" s="684"/>
      <c r="G61" s="684"/>
      <c r="H61" s="684"/>
      <c r="I61" s="684"/>
      <c r="J61" s="684"/>
      <c r="K61" s="684"/>
      <c r="L61" s="684"/>
      <c r="M61" s="684"/>
      <c r="N61" s="684"/>
      <c r="O61" s="684"/>
      <c r="P61" s="684"/>
      <c r="Q61" s="684"/>
      <c r="R61" s="684"/>
      <c r="S61" s="684"/>
      <c r="T61" s="684"/>
      <c r="U61" s="684"/>
      <c r="V61" s="684"/>
      <c r="W61" s="684"/>
      <c r="X61" s="684"/>
      <c r="Y61" s="684"/>
      <c r="Z61" s="684"/>
      <c r="AA61" s="684"/>
      <c r="AB61" s="684"/>
      <c r="AC61" s="684"/>
      <c r="AD61" s="684"/>
      <c r="AE61" s="684"/>
      <c r="AF61" s="684"/>
      <c r="AG61" s="684"/>
      <c r="AH61" s="684"/>
      <c r="AI61" s="684"/>
      <c r="AJ61" s="684"/>
      <c r="AK61" s="443"/>
      <c r="AL61" s="443"/>
    </row>
    <row r="62" spans="1:38" ht="15" customHeight="1" x14ac:dyDescent="0.15">
      <c r="A62" s="602" t="s">
        <v>12</v>
      </c>
      <c r="B62" s="602"/>
      <c r="C62" s="602"/>
      <c r="D62" s="602"/>
      <c r="E62" s="602"/>
      <c r="F62" s="602"/>
      <c r="G62" s="602"/>
      <c r="H62" s="602"/>
      <c r="I62" s="602"/>
      <c r="J62" s="602"/>
      <c r="K62" s="602"/>
      <c r="L62" s="602"/>
      <c r="M62" s="602"/>
      <c r="N62" s="602"/>
      <c r="O62" s="602"/>
      <c r="P62" s="602"/>
      <c r="Q62" s="602"/>
      <c r="R62" s="602"/>
      <c r="S62" s="602"/>
      <c r="T62" s="602"/>
      <c r="U62" s="602"/>
      <c r="V62" s="602"/>
      <c r="W62" s="602"/>
      <c r="X62" s="602"/>
      <c r="Y62" s="602"/>
      <c r="Z62" s="602"/>
      <c r="AA62" s="602"/>
      <c r="AB62" s="602"/>
      <c r="AC62" s="602"/>
      <c r="AD62" s="602"/>
      <c r="AE62" s="602"/>
      <c r="AF62" s="602"/>
      <c r="AG62" s="602"/>
      <c r="AH62" s="602"/>
      <c r="AI62" s="602"/>
      <c r="AJ62" s="602"/>
      <c r="AK62" s="451"/>
      <c r="AL62" s="451"/>
    </row>
    <row r="63" spans="1:38" ht="3.95" customHeight="1" x14ac:dyDescent="0.15">
      <c r="A63" s="452"/>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1"/>
      <c r="AL63" s="451"/>
    </row>
    <row r="64" spans="1:38" ht="3.95" customHeight="1" x14ac:dyDescent="0.15">
      <c r="A64" s="453"/>
      <c r="B64" s="454"/>
      <c r="C64" s="45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5"/>
    </row>
    <row r="65" spans="1:58" ht="18" customHeight="1" x14ac:dyDescent="0.15">
      <c r="A65" s="669" t="s">
        <v>3344</v>
      </c>
      <c r="B65" s="670"/>
      <c r="C65" s="670"/>
      <c r="D65" s="670"/>
      <c r="E65" s="670"/>
      <c r="F65" s="670"/>
      <c r="G65" s="670"/>
      <c r="H65" s="670"/>
      <c r="I65" s="670"/>
      <c r="J65" s="670"/>
      <c r="K65" s="670"/>
      <c r="L65" s="670"/>
      <c r="M65" s="670"/>
      <c r="N65" s="670"/>
      <c r="O65" s="670"/>
      <c r="P65" s="435"/>
      <c r="Q65" s="435"/>
      <c r="R65" s="435"/>
      <c r="S65" s="435"/>
      <c r="T65" s="435"/>
      <c r="U65" s="435"/>
      <c r="V65" s="435"/>
      <c r="W65" s="435"/>
      <c r="X65" s="435"/>
      <c r="Y65" s="435"/>
      <c r="Z65" s="435"/>
      <c r="AA65" s="435"/>
      <c r="AB65" s="435"/>
      <c r="AC65" s="435"/>
      <c r="AD65" s="435"/>
      <c r="AE65" s="435"/>
      <c r="AF65" s="435"/>
      <c r="AG65" s="435"/>
      <c r="AH65" s="435"/>
      <c r="AI65" s="435"/>
      <c r="AJ65" s="435"/>
      <c r="AK65" s="435"/>
      <c r="AL65" s="436"/>
    </row>
    <row r="66" spans="1:58" ht="23.1" customHeight="1" x14ac:dyDescent="0.15">
      <c r="A66" s="434"/>
      <c r="B66" s="588" t="s">
        <v>3345</v>
      </c>
      <c r="C66" s="581"/>
      <c r="D66" s="581"/>
      <c r="E66" s="581"/>
      <c r="F66" s="581"/>
      <c r="G66" s="581"/>
      <c r="H66" s="581"/>
      <c r="I66" s="581"/>
      <c r="J66" s="456"/>
      <c r="K66" s="678">
        <f ca="1">IF(wskakunin_KOUJI_TYAKUSYU_YOTEI_DATE="",TEXT(TODAY(),"ggg"),wskakunin_KOUJI_TYAKUSYU_YOTEI_DATE)</f>
        <v>45703</v>
      </c>
      <c r="L66" s="679"/>
      <c r="M66" s="680">
        <f>cst_wskakunin_KOUJI_TYAKUSYU_YOTEI_DATE</f>
        <v>45703</v>
      </c>
      <c r="N66" s="681"/>
      <c r="O66" s="681"/>
      <c r="P66" s="446" t="s">
        <v>436</v>
      </c>
      <c r="Q66" s="682">
        <f>cst_wskakunin_KOUJI_TYAKUSYU_YOTEI_DATE</f>
        <v>45703</v>
      </c>
      <c r="R66" s="682"/>
      <c r="S66" s="682"/>
      <c r="T66" s="446" t="s">
        <v>0</v>
      </c>
      <c r="U66" s="683">
        <f>cst_wskakunin_KOUJI_TYAKUSYU_YOTEI_DATE</f>
        <v>45703</v>
      </c>
      <c r="V66" s="683"/>
      <c r="W66" s="683"/>
      <c r="X66" s="446" t="s">
        <v>437</v>
      </c>
      <c r="Y66" s="447"/>
      <c r="Z66" s="435"/>
      <c r="AA66" s="435"/>
      <c r="AB66" s="435"/>
      <c r="AC66" s="435"/>
      <c r="AD66" s="435"/>
      <c r="AE66" s="435"/>
      <c r="AF66" s="435"/>
      <c r="AG66" s="435"/>
      <c r="AH66" s="435"/>
      <c r="AI66" s="435"/>
      <c r="AJ66" s="435"/>
      <c r="AK66" s="435"/>
      <c r="AL66" s="436"/>
    </row>
    <row r="67" spans="1:58" ht="23.1" customHeight="1" x14ac:dyDescent="0.15">
      <c r="A67" s="434"/>
      <c r="B67" s="582" t="s">
        <v>3346</v>
      </c>
      <c r="C67" s="583"/>
      <c r="D67" s="583"/>
      <c r="E67" s="583"/>
      <c r="F67" s="583"/>
      <c r="G67" s="583"/>
      <c r="H67" s="583"/>
      <c r="I67" s="583"/>
      <c r="J67" s="457"/>
      <c r="K67" s="678">
        <f ca="1">IF(wskakunin_KOUJI_KANRYOU_YOTEI_DATE="",TEXT(TODAY(),"ggg"),wskakunin_KOUJI_KANRYOU_YOTEI_DATE)</f>
        <v>45899</v>
      </c>
      <c r="L67" s="679"/>
      <c r="M67" s="680">
        <f>cst_wskakunin_KOUJI_KANRYOU_YOTEI_DATE</f>
        <v>45899</v>
      </c>
      <c r="N67" s="681"/>
      <c r="O67" s="681"/>
      <c r="P67" s="446" t="s">
        <v>436</v>
      </c>
      <c r="Q67" s="682">
        <f>cst_wskakunin_KOUJI_KANRYOU_YOTEI_DATE</f>
        <v>45899</v>
      </c>
      <c r="R67" s="682"/>
      <c r="S67" s="682"/>
      <c r="T67" s="446" t="s">
        <v>0</v>
      </c>
      <c r="U67" s="683">
        <f>cst_wskakunin_KOUJI_KANRYOU_YOTEI_DATE</f>
        <v>45899</v>
      </c>
      <c r="V67" s="683"/>
      <c r="W67" s="683"/>
      <c r="X67" s="446" t="s">
        <v>437</v>
      </c>
      <c r="Y67" s="447"/>
      <c r="Z67" s="435"/>
      <c r="AA67" s="435"/>
      <c r="AB67" s="435"/>
      <c r="AC67" s="435"/>
      <c r="AD67" s="435"/>
      <c r="AE67" s="435"/>
      <c r="AF67" s="435"/>
      <c r="AG67" s="435"/>
      <c r="AH67" s="435"/>
      <c r="AI67" s="435"/>
      <c r="AJ67" s="435"/>
      <c r="AK67" s="435"/>
      <c r="AL67" s="436"/>
    </row>
    <row r="68" spans="1:58" ht="3.95" customHeight="1" x14ac:dyDescent="0.15">
      <c r="A68" s="434"/>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6"/>
    </row>
    <row r="69" spans="1:58" ht="3.95" customHeight="1" x14ac:dyDescent="0.15">
      <c r="A69" s="434"/>
      <c r="B69" s="435"/>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c r="AJ69" s="435"/>
      <c r="AK69" s="435"/>
      <c r="AL69" s="436"/>
    </row>
    <row r="70" spans="1:58" ht="18" customHeight="1" x14ac:dyDescent="0.15">
      <c r="A70" s="669" t="s">
        <v>3347</v>
      </c>
      <c r="B70" s="670"/>
      <c r="C70" s="670"/>
      <c r="D70" s="670"/>
      <c r="E70" s="670"/>
      <c r="F70" s="670"/>
      <c r="G70" s="43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6"/>
    </row>
    <row r="71" spans="1:58" ht="17.45" customHeight="1" x14ac:dyDescent="0.15">
      <c r="A71" s="434"/>
      <c r="B71" s="668" t="s">
        <v>3348</v>
      </c>
      <c r="C71" s="601"/>
      <c r="D71" s="601"/>
      <c r="E71" s="601"/>
      <c r="F71" s="601"/>
      <c r="G71" s="601"/>
      <c r="H71" s="601"/>
      <c r="I71" s="614"/>
      <c r="J71" s="458" t="s">
        <v>554</v>
      </c>
      <c r="K71" s="432" t="s">
        <v>3349</v>
      </c>
      <c r="L71" s="459"/>
      <c r="M71" s="432"/>
      <c r="N71" s="432"/>
      <c r="O71" s="432"/>
      <c r="P71" s="432"/>
      <c r="Q71" s="432"/>
      <c r="R71" s="460" t="s">
        <v>554</v>
      </c>
      <c r="S71" s="432" t="s">
        <v>3350</v>
      </c>
      <c r="T71" s="459"/>
      <c r="U71" s="432"/>
      <c r="V71" s="432"/>
      <c r="W71" s="432"/>
      <c r="X71" s="432"/>
      <c r="Y71" s="432"/>
      <c r="Z71" s="459"/>
      <c r="AA71" s="432"/>
      <c r="AB71" s="460" t="s">
        <v>554</v>
      </c>
      <c r="AC71" s="432" t="s">
        <v>3351</v>
      </c>
      <c r="AD71" s="459"/>
      <c r="AE71" s="432"/>
      <c r="AF71" s="432"/>
      <c r="AG71" s="432"/>
      <c r="AH71" s="432"/>
      <c r="AI71" s="432"/>
      <c r="AJ71" s="433"/>
      <c r="AK71" s="435"/>
      <c r="AL71" s="436"/>
    </row>
    <row r="72" spans="1:58" ht="17.45" customHeight="1" x14ac:dyDescent="0.15">
      <c r="A72" s="434"/>
      <c r="B72" s="653"/>
      <c r="C72" s="615"/>
      <c r="D72" s="615"/>
      <c r="E72" s="615"/>
      <c r="F72" s="615"/>
      <c r="G72" s="615"/>
      <c r="H72" s="615"/>
      <c r="I72" s="673"/>
      <c r="J72" s="462" t="s">
        <v>554</v>
      </c>
      <c r="K72" s="449" t="s">
        <v>3352</v>
      </c>
      <c r="L72" s="463"/>
      <c r="M72" s="449"/>
      <c r="N72" s="449"/>
      <c r="O72" s="449"/>
      <c r="P72" s="449"/>
      <c r="Q72" s="449"/>
      <c r="R72" s="464" t="s">
        <v>554</v>
      </c>
      <c r="S72" s="449" t="s">
        <v>3353</v>
      </c>
      <c r="T72" s="463"/>
      <c r="U72" s="465"/>
      <c r="V72" s="465"/>
      <c r="W72" s="465"/>
      <c r="X72" s="465"/>
      <c r="Y72" s="449"/>
      <c r="Z72" s="463"/>
      <c r="AA72" s="449"/>
      <c r="AB72" s="464" t="s">
        <v>554</v>
      </c>
      <c r="AC72" s="449" t="s">
        <v>3354</v>
      </c>
      <c r="AD72" s="463"/>
      <c r="AE72" s="449"/>
      <c r="AF72" s="449"/>
      <c r="AG72" s="449"/>
      <c r="AH72" s="449"/>
      <c r="AI72" s="449"/>
      <c r="AJ72" s="450"/>
      <c r="AK72" s="435"/>
      <c r="AL72" s="436"/>
    </row>
    <row r="73" spans="1:58" ht="17.45" customHeight="1" x14ac:dyDescent="0.15">
      <c r="A73" s="434"/>
      <c r="B73" s="590" t="s">
        <v>3355</v>
      </c>
      <c r="C73" s="591"/>
      <c r="D73" s="591"/>
      <c r="E73" s="591"/>
      <c r="F73" s="591"/>
      <c r="G73" s="591"/>
      <c r="H73" s="591"/>
      <c r="I73" s="607"/>
      <c r="J73" s="458" t="s">
        <v>554</v>
      </c>
      <c r="K73" s="432" t="s">
        <v>3016</v>
      </c>
      <c r="L73" s="459"/>
      <c r="M73" s="466"/>
      <c r="N73" s="432"/>
      <c r="O73" s="432"/>
      <c r="P73" s="432"/>
      <c r="Q73" s="432"/>
      <c r="R73" s="432"/>
      <c r="T73" s="432"/>
      <c r="U73" s="460" t="s">
        <v>554</v>
      </c>
      <c r="V73" s="432" t="s">
        <v>3017</v>
      </c>
      <c r="X73" s="459"/>
      <c r="Y73" s="432"/>
      <c r="Z73" s="432"/>
      <c r="AA73" s="432"/>
      <c r="AB73" s="432"/>
      <c r="AC73" s="432"/>
      <c r="AD73" s="432"/>
      <c r="AE73" s="432"/>
      <c r="AF73" s="432"/>
      <c r="AG73" s="432"/>
      <c r="AH73" s="432"/>
      <c r="AI73" s="432"/>
      <c r="AJ73" s="433"/>
      <c r="AK73" s="435"/>
      <c r="AL73" s="436"/>
      <c r="AO73" s="435"/>
      <c r="AP73" s="435"/>
      <c r="AQ73" s="435"/>
      <c r="AR73" s="435"/>
      <c r="AS73" s="435"/>
      <c r="AT73" s="435"/>
      <c r="AU73" s="435"/>
      <c r="AV73" s="435"/>
      <c r="AW73" s="435"/>
      <c r="AX73" s="435"/>
      <c r="AY73" s="435"/>
      <c r="AZ73" s="435"/>
      <c r="BA73" s="435"/>
      <c r="BB73" s="435"/>
      <c r="BC73" s="435"/>
      <c r="BD73" s="435"/>
      <c r="BE73" s="435"/>
      <c r="BF73" s="435"/>
    </row>
    <row r="74" spans="1:58" ht="17.45" customHeight="1" x14ac:dyDescent="0.15">
      <c r="A74" s="434"/>
      <c r="B74" s="616"/>
      <c r="C74" s="617"/>
      <c r="D74" s="617"/>
      <c r="E74" s="617"/>
      <c r="F74" s="617"/>
      <c r="G74" s="617"/>
      <c r="H74" s="617"/>
      <c r="I74" s="618"/>
      <c r="J74" s="462" t="s">
        <v>554</v>
      </c>
      <c r="K74" s="449" t="s">
        <v>3018</v>
      </c>
      <c r="L74" s="463"/>
      <c r="M74" s="448"/>
      <c r="N74" s="449"/>
      <c r="O74" s="463"/>
      <c r="P74" s="449"/>
      <c r="Q74" s="449"/>
      <c r="R74" s="449"/>
      <c r="S74" s="449"/>
      <c r="T74" s="449"/>
      <c r="U74" s="464" t="s">
        <v>554</v>
      </c>
      <c r="V74" s="449" t="s">
        <v>3019</v>
      </c>
      <c r="W74" s="449"/>
      <c r="X74" s="449"/>
      <c r="Y74" s="449"/>
      <c r="Z74" s="449"/>
      <c r="AA74" s="449"/>
      <c r="AB74" s="449"/>
      <c r="AC74" s="449"/>
      <c r="AD74" s="449"/>
      <c r="AE74" s="464" t="s">
        <v>554</v>
      </c>
      <c r="AF74" s="449" t="s">
        <v>3020</v>
      </c>
      <c r="AG74" s="463"/>
      <c r="AH74" s="449"/>
      <c r="AI74" s="449"/>
      <c r="AJ74" s="450"/>
      <c r="AK74" s="435"/>
      <c r="AL74" s="436"/>
      <c r="AO74" s="435"/>
      <c r="AP74" s="435"/>
      <c r="AQ74" s="435"/>
      <c r="AR74" s="435"/>
      <c r="AS74" s="435"/>
      <c r="AT74" s="435"/>
      <c r="AU74" s="435"/>
      <c r="AV74" s="435"/>
      <c r="AW74" s="435"/>
      <c r="AX74" s="435"/>
      <c r="AY74" s="435"/>
      <c r="AZ74" s="435"/>
      <c r="BA74" s="435"/>
      <c r="BB74" s="435"/>
      <c r="BC74" s="435"/>
      <c r="BD74" s="435"/>
      <c r="BE74" s="435"/>
      <c r="BF74" s="435"/>
    </row>
    <row r="75" spans="1:58" ht="2.25" customHeight="1" x14ac:dyDescent="0.15">
      <c r="A75" s="434"/>
      <c r="B75" s="435"/>
      <c r="C75" s="435"/>
      <c r="D75" s="435"/>
      <c r="E75" s="435"/>
      <c r="F75" s="435"/>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6"/>
    </row>
    <row r="76" spans="1:58" ht="1.5" customHeight="1" x14ac:dyDescent="0.15">
      <c r="A76" s="434"/>
      <c r="B76" s="435"/>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6"/>
    </row>
    <row r="77" spans="1:58" ht="18" customHeight="1" x14ac:dyDescent="0.15">
      <c r="A77" s="434" t="s">
        <v>3356</v>
      </c>
      <c r="B77" s="435"/>
      <c r="C77" s="435"/>
      <c r="D77" s="435"/>
      <c r="E77" s="435"/>
      <c r="F77" s="435"/>
      <c r="G77" s="435"/>
      <c r="H77" s="435"/>
      <c r="I77" s="602"/>
      <c r="J77" s="602"/>
      <c r="K77" s="602"/>
      <c r="L77" s="602"/>
      <c r="M77" s="602"/>
      <c r="N77" s="602"/>
      <c r="O77" s="435"/>
      <c r="P77" s="435"/>
      <c r="Q77" s="435"/>
      <c r="R77" s="602"/>
      <c r="S77" s="602"/>
      <c r="T77" s="602"/>
      <c r="U77" s="602"/>
      <c r="V77" s="602"/>
      <c r="W77" s="602"/>
      <c r="X77" s="435"/>
      <c r="Y77" s="435"/>
      <c r="Z77" s="435"/>
      <c r="AA77" s="435"/>
      <c r="AB77" s="435"/>
      <c r="AC77" s="435"/>
      <c r="AD77" s="435"/>
      <c r="AE77" s="435"/>
      <c r="AF77" s="435"/>
      <c r="AG77" s="435"/>
      <c r="AH77" s="435"/>
      <c r="AI77" s="435"/>
      <c r="AJ77" s="435"/>
      <c r="AK77" s="435"/>
      <c r="AL77" s="436"/>
    </row>
    <row r="78" spans="1:58" ht="39" customHeight="1" x14ac:dyDescent="0.15">
      <c r="A78" s="434"/>
      <c r="B78" s="588" t="s">
        <v>3357</v>
      </c>
      <c r="C78" s="581"/>
      <c r="D78" s="581"/>
      <c r="E78" s="581"/>
      <c r="F78" s="581"/>
      <c r="G78" s="581"/>
      <c r="H78" s="581"/>
      <c r="I78" s="589"/>
      <c r="J78" s="674" t="str">
        <f>cst_wskakunin_BUILD__address</f>
        <v>香川県丸亀市飯山町下法軍寺字島田737番3</v>
      </c>
      <c r="K78" s="675"/>
      <c r="L78" s="675"/>
      <c r="M78" s="675"/>
      <c r="N78" s="675"/>
      <c r="O78" s="676"/>
      <c r="P78" s="676"/>
      <c r="Q78" s="676"/>
      <c r="R78" s="676"/>
      <c r="S78" s="676"/>
      <c r="T78" s="676"/>
      <c r="U78" s="676"/>
      <c r="V78" s="676"/>
      <c r="W78" s="676"/>
      <c r="X78" s="676"/>
      <c r="Y78" s="676"/>
      <c r="Z78" s="676"/>
      <c r="AA78" s="676"/>
      <c r="AB78" s="676"/>
      <c r="AC78" s="676"/>
      <c r="AD78" s="676"/>
      <c r="AE78" s="676"/>
      <c r="AF78" s="676"/>
      <c r="AG78" s="676"/>
      <c r="AH78" s="676"/>
      <c r="AI78" s="676"/>
      <c r="AJ78" s="677"/>
      <c r="AK78" s="435"/>
      <c r="AL78" s="436"/>
    </row>
    <row r="79" spans="1:58" ht="17.45" customHeight="1" x14ac:dyDescent="0.15">
      <c r="A79" s="434"/>
      <c r="B79" s="668" t="s">
        <v>3358</v>
      </c>
      <c r="C79" s="601"/>
      <c r="D79" s="601"/>
      <c r="E79" s="601"/>
      <c r="F79" s="601"/>
      <c r="G79" s="601"/>
      <c r="H79" s="601"/>
      <c r="I79" s="601"/>
      <c r="J79" s="468" t="str">
        <f>IF(cst_wskakunin_KUIKI_SIGAIKA="■","☑","□")</f>
        <v>□</v>
      </c>
      <c r="K79" s="431" t="s">
        <v>3359</v>
      </c>
      <c r="L79" s="431"/>
      <c r="M79" s="431"/>
      <c r="N79" s="431"/>
      <c r="O79" s="431"/>
      <c r="P79" s="431"/>
      <c r="Q79" s="432"/>
      <c r="R79" s="432"/>
      <c r="T79" s="431"/>
      <c r="U79" s="431"/>
      <c r="V79" s="431"/>
      <c r="W79" s="431"/>
      <c r="X79" s="431"/>
      <c r="Y79" s="431"/>
      <c r="Z79" s="469" t="str">
        <f>IF(cst_wskakunin_KUIKI_TYOSEI="■","☑","□")</f>
        <v>□</v>
      </c>
      <c r="AA79" s="431" t="s">
        <v>3360</v>
      </c>
      <c r="AB79" s="432"/>
      <c r="AC79" s="432"/>
      <c r="AD79" s="432"/>
      <c r="AE79" s="432"/>
      <c r="AF79" s="432"/>
      <c r="AG79" s="459"/>
      <c r="AH79" s="432"/>
      <c r="AI79" s="432"/>
      <c r="AJ79" s="433"/>
      <c r="AK79" s="435"/>
      <c r="AL79" s="436"/>
    </row>
    <row r="80" spans="1:58" ht="17.45" customHeight="1" x14ac:dyDescent="0.15">
      <c r="A80" s="434"/>
      <c r="B80" s="669"/>
      <c r="C80" s="670"/>
      <c r="D80" s="670"/>
      <c r="E80" s="670"/>
      <c r="F80" s="670"/>
      <c r="G80" s="670"/>
      <c r="H80" s="670"/>
      <c r="I80" s="670"/>
      <c r="J80" s="470" t="str">
        <f>IF(cst_wskakunin_KUIKI_HISETTEI="■","☑","□")</f>
        <v>☑</v>
      </c>
      <c r="K80" s="435" t="s">
        <v>3361</v>
      </c>
      <c r="L80" s="435"/>
      <c r="M80" s="435"/>
      <c r="O80" s="435"/>
      <c r="P80" s="435"/>
      <c r="Q80" s="435"/>
      <c r="R80" s="435"/>
      <c r="S80" s="435"/>
      <c r="T80" s="435"/>
      <c r="U80" s="435"/>
      <c r="V80" s="435"/>
      <c r="W80" s="435"/>
      <c r="X80" s="435"/>
      <c r="Z80" s="471" t="str">
        <f>IF(cst_wskakunin_KUIKI_JYUN_TOSHI="■","☑","□")</f>
        <v>□</v>
      </c>
      <c r="AA80" s="430" t="s">
        <v>3362</v>
      </c>
      <c r="AB80" s="430"/>
      <c r="AC80" s="430"/>
      <c r="AD80" s="430"/>
      <c r="AE80" s="430"/>
      <c r="AF80" s="430"/>
      <c r="AH80" s="435"/>
      <c r="AI80" s="435"/>
      <c r="AJ80" s="436"/>
      <c r="AK80" s="435"/>
      <c r="AL80" s="436"/>
    </row>
    <row r="81" spans="1:38" ht="17.45" customHeight="1" x14ac:dyDescent="0.15">
      <c r="A81" s="434"/>
      <c r="B81" s="653"/>
      <c r="C81" s="615"/>
      <c r="D81" s="615"/>
      <c r="E81" s="615"/>
      <c r="F81" s="615"/>
      <c r="G81" s="615"/>
      <c r="H81" s="615"/>
      <c r="I81" s="615"/>
      <c r="J81" s="472" t="str">
        <f>IF(cst_wskakunin_KUIKI_KUIKIGAI="■","☑","□")</f>
        <v>□</v>
      </c>
      <c r="K81" s="439" t="s">
        <v>3363</v>
      </c>
      <c r="L81" s="439"/>
      <c r="M81" s="439"/>
      <c r="N81" s="439"/>
      <c r="O81" s="439"/>
      <c r="P81" s="439"/>
      <c r="Q81" s="439"/>
      <c r="R81" s="439"/>
      <c r="S81" s="439"/>
      <c r="T81" s="439"/>
      <c r="U81" s="439"/>
      <c r="V81" s="439"/>
      <c r="W81" s="439"/>
      <c r="X81" s="439"/>
      <c r="Y81" s="439"/>
      <c r="Z81" s="439"/>
      <c r="AA81" s="439"/>
      <c r="AB81" s="439"/>
      <c r="AC81" s="439"/>
      <c r="AD81" s="449"/>
      <c r="AE81" s="449"/>
      <c r="AF81" s="449"/>
      <c r="AG81" s="463"/>
      <c r="AH81" s="449"/>
      <c r="AI81" s="449"/>
      <c r="AJ81" s="450"/>
      <c r="AK81" s="435"/>
      <c r="AL81" s="436"/>
    </row>
    <row r="82" spans="1:38" ht="3.95" customHeight="1" x14ac:dyDescent="0.15">
      <c r="A82" s="434"/>
      <c r="B82" s="435"/>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6"/>
    </row>
    <row r="83" spans="1:38" ht="3.95" customHeight="1" x14ac:dyDescent="0.15">
      <c r="A83" s="434"/>
      <c r="B83" s="435"/>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6"/>
    </row>
    <row r="84" spans="1:38" ht="17.45" customHeight="1" x14ac:dyDescent="0.15">
      <c r="A84" s="434" t="s">
        <v>3364</v>
      </c>
      <c r="B84" s="435"/>
      <c r="C84" s="435"/>
      <c r="D84" s="435"/>
      <c r="E84" s="435"/>
      <c r="F84" s="435"/>
      <c r="G84" s="435"/>
      <c r="H84" s="435"/>
      <c r="I84" s="473"/>
      <c r="J84" s="474" t="str">
        <f>IF(cst_wskakunin_KOUJI_SINTIKU_box="■","☑","□")</f>
        <v>☑</v>
      </c>
      <c r="K84" s="438" t="s">
        <v>3365</v>
      </c>
      <c r="L84" s="438"/>
      <c r="M84" s="438"/>
      <c r="N84" s="438"/>
      <c r="O84" s="475" t="str">
        <f>IF(cst_wskakunin_KOUJI_ZOUTIKU_box="■","☑","□")</f>
        <v>□</v>
      </c>
      <c r="P84" s="438" t="s">
        <v>3366</v>
      </c>
      <c r="Q84" s="438"/>
      <c r="R84" s="438"/>
      <c r="S84" s="438"/>
      <c r="T84" s="475" t="str">
        <f>IF(cst_wskakunin_KOUJI_KAITIKU_box="■","☑","□")</f>
        <v>□</v>
      </c>
      <c r="U84" s="438" t="s">
        <v>3367</v>
      </c>
      <c r="V84" s="438"/>
      <c r="W84" s="438"/>
      <c r="X84" s="438"/>
      <c r="Y84" s="475" t="str">
        <f>IF(cst_wskakunin_KOUJI_ITEN_box="■","☑","□")</f>
        <v>□</v>
      </c>
      <c r="Z84" s="438" t="s">
        <v>3368</v>
      </c>
      <c r="AA84" s="438"/>
      <c r="AB84" s="438"/>
      <c r="AC84" s="438"/>
      <c r="AD84" s="447"/>
      <c r="AE84" s="435"/>
      <c r="AF84" s="435"/>
      <c r="AL84" s="473"/>
    </row>
    <row r="85" spans="1:38" ht="3.95" customHeight="1" x14ac:dyDescent="0.15">
      <c r="A85" s="434"/>
      <c r="B85" s="435"/>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6"/>
    </row>
    <row r="86" spans="1:38" ht="3.6" customHeight="1" x14ac:dyDescent="0.15">
      <c r="A86" s="434"/>
      <c r="B86" s="435"/>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6"/>
    </row>
    <row r="87" spans="1:38" ht="23.1" customHeight="1" x14ac:dyDescent="0.15">
      <c r="A87" s="669" t="s">
        <v>3369</v>
      </c>
      <c r="B87" s="670"/>
      <c r="C87" s="670"/>
      <c r="D87" s="670"/>
      <c r="E87" s="670"/>
      <c r="F87" s="670"/>
      <c r="G87" s="670"/>
      <c r="H87" s="670"/>
      <c r="I87" s="671"/>
      <c r="J87" s="592"/>
      <c r="K87" s="593"/>
      <c r="L87" s="593"/>
      <c r="M87" s="593"/>
      <c r="N87" s="593"/>
      <c r="O87" s="593"/>
      <c r="P87" s="593"/>
      <c r="Q87" s="593"/>
      <c r="R87" s="672"/>
      <c r="S87" s="435" t="s">
        <v>3370</v>
      </c>
      <c r="T87" s="435"/>
      <c r="U87" s="435"/>
      <c r="V87" s="435"/>
      <c r="W87" s="435"/>
      <c r="X87" s="435"/>
      <c r="Y87" s="435"/>
      <c r="Z87" s="435"/>
      <c r="AA87" s="435"/>
      <c r="AB87" s="435"/>
      <c r="AC87" s="435"/>
      <c r="AD87" s="435"/>
      <c r="AE87" s="435"/>
      <c r="AF87" s="435"/>
      <c r="AG87" s="435"/>
      <c r="AH87" s="435"/>
      <c r="AI87" s="435"/>
      <c r="AJ87" s="435"/>
      <c r="AK87" s="435"/>
      <c r="AL87" s="436"/>
    </row>
    <row r="88" spans="1:38" ht="5.0999999999999996" customHeight="1" x14ac:dyDescent="0.15">
      <c r="A88" s="434"/>
      <c r="B88" s="435"/>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6"/>
    </row>
    <row r="89" spans="1:38" ht="18" customHeight="1" x14ac:dyDescent="0.15">
      <c r="A89" s="669" t="s">
        <v>3371</v>
      </c>
      <c r="B89" s="670"/>
      <c r="C89" s="670"/>
      <c r="D89" s="670"/>
      <c r="E89" s="670"/>
      <c r="F89" s="670"/>
      <c r="G89" s="670"/>
      <c r="H89" s="670"/>
      <c r="I89" s="670"/>
      <c r="J89" s="670"/>
      <c r="K89" s="670"/>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6"/>
    </row>
    <row r="90" spans="1:38" ht="23.1" customHeight="1" x14ac:dyDescent="0.15">
      <c r="A90" s="434"/>
      <c r="B90" s="595" t="s">
        <v>3372</v>
      </c>
      <c r="C90" s="596"/>
      <c r="D90" s="596"/>
      <c r="E90" s="596"/>
      <c r="F90" s="596"/>
      <c r="G90" s="596"/>
      <c r="H90" s="596"/>
      <c r="I90" s="596"/>
      <c r="J90" s="667">
        <f>IF(AND(K110="",M112=""),"",1)</f>
        <v>1</v>
      </c>
      <c r="K90" s="664"/>
      <c r="L90" s="664"/>
      <c r="M90" s="664"/>
      <c r="N90" s="664"/>
      <c r="O90" s="664"/>
      <c r="P90" s="664"/>
      <c r="Q90" s="664"/>
      <c r="R90" s="665"/>
      <c r="S90" s="663" t="str">
        <f>IF(AND(T110="",V112=""),"",2)</f>
        <v/>
      </c>
      <c r="T90" s="664"/>
      <c r="U90" s="664"/>
      <c r="V90" s="664"/>
      <c r="W90" s="664"/>
      <c r="X90" s="664"/>
      <c r="Y90" s="664"/>
      <c r="Z90" s="664"/>
      <c r="AA90" s="665"/>
      <c r="AB90" s="663" t="str">
        <f>IF(AND(AC110="",AE112=""),"",3)</f>
        <v/>
      </c>
      <c r="AC90" s="664"/>
      <c r="AD90" s="664"/>
      <c r="AE90" s="664"/>
      <c r="AF90" s="664"/>
      <c r="AG90" s="664"/>
      <c r="AH90" s="664"/>
      <c r="AI90" s="664"/>
      <c r="AJ90" s="666"/>
      <c r="AK90" s="479"/>
      <c r="AL90" s="480"/>
    </row>
    <row r="91" spans="1:38" ht="39" customHeight="1" x14ac:dyDescent="0.15">
      <c r="A91" s="434"/>
      <c r="B91" s="588" t="s">
        <v>3373</v>
      </c>
      <c r="C91" s="581"/>
      <c r="D91" s="581"/>
      <c r="E91" s="581"/>
      <c r="F91" s="581"/>
      <c r="G91" s="581"/>
      <c r="H91" s="581"/>
      <c r="I91" s="581"/>
      <c r="J91" s="667" t="str">
        <f>IF(AND(K110="",M112=""),"",cst_wskakunin_BUILD_NAME)</f>
        <v>三木章史・恵様邸新築工事</v>
      </c>
      <c r="K91" s="664"/>
      <c r="L91" s="664"/>
      <c r="M91" s="664"/>
      <c r="N91" s="664"/>
      <c r="O91" s="664"/>
      <c r="P91" s="664"/>
      <c r="Q91" s="664"/>
      <c r="R91" s="665"/>
      <c r="S91" s="663"/>
      <c r="T91" s="664"/>
      <c r="U91" s="664"/>
      <c r="V91" s="664"/>
      <c r="W91" s="664"/>
      <c r="X91" s="664"/>
      <c r="Y91" s="664"/>
      <c r="Z91" s="664"/>
      <c r="AA91" s="665"/>
      <c r="AB91" s="663"/>
      <c r="AC91" s="664"/>
      <c r="AD91" s="664"/>
      <c r="AE91" s="664"/>
      <c r="AF91" s="664"/>
      <c r="AG91" s="664"/>
      <c r="AH91" s="664"/>
      <c r="AI91" s="664"/>
      <c r="AJ91" s="666"/>
      <c r="AK91" s="479"/>
      <c r="AL91" s="480"/>
    </row>
    <row r="92" spans="1:38" ht="23.1" customHeight="1" x14ac:dyDescent="0.15">
      <c r="A92" s="434"/>
      <c r="B92" s="590" t="s">
        <v>3374</v>
      </c>
      <c r="C92" s="601"/>
      <c r="D92" s="601"/>
      <c r="E92" s="601"/>
      <c r="F92" s="601"/>
      <c r="G92" s="601"/>
      <c r="H92" s="601"/>
      <c r="I92" s="601"/>
      <c r="J92" s="654"/>
      <c r="K92" s="655"/>
      <c r="L92" s="655"/>
      <c r="M92" s="655"/>
      <c r="N92" s="655"/>
      <c r="O92" s="655"/>
      <c r="P92" s="655"/>
      <c r="Q92" s="655"/>
      <c r="R92" s="656"/>
      <c r="S92" s="657"/>
      <c r="T92" s="655"/>
      <c r="U92" s="655"/>
      <c r="V92" s="655"/>
      <c r="W92" s="655"/>
      <c r="X92" s="655"/>
      <c r="Y92" s="655"/>
      <c r="Z92" s="655"/>
      <c r="AA92" s="656"/>
      <c r="AB92" s="657"/>
      <c r="AC92" s="655"/>
      <c r="AD92" s="655"/>
      <c r="AE92" s="655"/>
      <c r="AF92" s="655"/>
      <c r="AG92" s="655"/>
      <c r="AH92" s="655"/>
      <c r="AI92" s="655"/>
      <c r="AJ92" s="658"/>
      <c r="AK92" s="479"/>
      <c r="AL92" s="480"/>
    </row>
    <row r="93" spans="1:38" ht="17.100000000000001" customHeight="1" x14ac:dyDescent="0.15">
      <c r="A93" s="434"/>
      <c r="B93" s="653"/>
      <c r="C93" s="615"/>
      <c r="D93" s="615"/>
      <c r="E93" s="615"/>
      <c r="F93" s="615"/>
      <c r="G93" s="615"/>
      <c r="H93" s="615"/>
      <c r="I93" s="615"/>
      <c r="J93" s="481" t="s">
        <v>554</v>
      </c>
      <c r="K93" s="659" t="s">
        <v>3022</v>
      </c>
      <c r="L93" s="660"/>
      <c r="M93" s="660"/>
      <c r="N93" s="660"/>
      <c r="O93" s="660"/>
      <c r="P93" s="660"/>
      <c r="Q93" s="660"/>
      <c r="R93" s="661"/>
      <c r="S93" s="481" t="s">
        <v>554</v>
      </c>
      <c r="T93" s="659" t="s">
        <v>3022</v>
      </c>
      <c r="U93" s="660"/>
      <c r="V93" s="660"/>
      <c r="W93" s="660"/>
      <c r="X93" s="660"/>
      <c r="Y93" s="660"/>
      <c r="Z93" s="660"/>
      <c r="AA93" s="661"/>
      <c r="AB93" s="481" t="s">
        <v>554</v>
      </c>
      <c r="AC93" s="659" t="s">
        <v>3022</v>
      </c>
      <c r="AD93" s="660"/>
      <c r="AE93" s="660"/>
      <c r="AF93" s="660"/>
      <c r="AG93" s="660"/>
      <c r="AH93" s="660"/>
      <c r="AI93" s="660"/>
      <c r="AJ93" s="662"/>
      <c r="AK93" s="482"/>
      <c r="AL93" s="480"/>
    </row>
    <row r="94" spans="1:38" ht="20.100000000000001" customHeight="1" x14ac:dyDescent="0.15">
      <c r="A94" s="434"/>
      <c r="B94" s="641" t="s">
        <v>3375</v>
      </c>
      <c r="C94" s="609"/>
      <c r="D94" s="609"/>
      <c r="E94" s="609"/>
      <c r="F94" s="609"/>
      <c r="G94" s="609"/>
      <c r="H94" s="609"/>
      <c r="I94" s="609"/>
      <c r="J94" s="642"/>
      <c r="K94" s="643"/>
      <c r="L94" s="643"/>
      <c r="M94" s="643"/>
      <c r="N94" s="643"/>
      <c r="O94" s="643"/>
      <c r="P94" s="643"/>
      <c r="Q94" s="643"/>
      <c r="R94" s="644"/>
      <c r="S94" s="648"/>
      <c r="T94" s="643"/>
      <c r="U94" s="643"/>
      <c r="V94" s="643"/>
      <c r="W94" s="643"/>
      <c r="X94" s="643"/>
      <c r="Y94" s="643"/>
      <c r="Z94" s="643"/>
      <c r="AA94" s="644"/>
      <c r="AB94" s="648"/>
      <c r="AC94" s="643"/>
      <c r="AD94" s="643"/>
      <c r="AE94" s="643"/>
      <c r="AF94" s="643"/>
      <c r="AG94" s="643"/>
      <c r="AH94" s="643"/>
      <c r="AI94" s="643"/>
      <c r="AJ94" s="650"/>
      <c r="AK94" s="430"/>
      <c r="AL94" s="476"/>
    </row>
    <row r="95" spans="1:38" ht="15.95" customHeight="1" x14ac:dyDescent="0.15">
      <c r="A95" s="434"/>
      <c r="B95" s="626"/>
      <c r="C95" s="627"/>
      <c r="D95" s="627"/>
      <c r="E95" s="627"/>
      <c r="F95" s="627"/>
      <c r="G95" s="627"/>
      <c r="H95" s="627"/>
      <c r="I95" s="627"/>
      <c r="J95" s="645"/>
      <c r="K95" s="646"/>
      <c r="L95" s="646"/>
      <c r="M95" s="646"/>
      <c r="N95" s="646"/>
      <c r="O95" s="646"/>
      <c r="P95" s="646"/>
      <c r="Q95" s="646"/>
      <c r="R95" s="647"/>
      <c r="S95" s="649"/>
      <c r="T95" s="646"/>
      <c r="U95" s="646"/>
      <c r="V95" s="646"/>
      <c r="W95" s="646"/>
      <c r="X95" s="646"/>
      <c r="Y95" s="646"/>
      <c r="Z95" s="646"/>
      <c r="AA95" s="647"/>
      <c r="AB95" s="649"/>
      <c r="AC95" s="646"/>
      <c r="AD95" s="646"/>
      <c r="AE95" s="646"/>
      <c r="AF95" s="646"/>
      <c r="AG95" s="646"/>
      <c r="AH95" s="646"/>
      <c r="AI95" s="646"/>
      <c r="AJ95" s="651"/>
      <c r="AK95" s="483"/>
      <c r="AL95" s="484"/>
    </row>
    <row r="96" spans="1:38" ht="23.1" customHeight="1" x14ac:dyDescent="0.15">
      <c r="A96" s="434"/>
      <c r="B96" s="582" t="s">
        <v>3376</v>
      </c>
      <c r="C96" s="583"/>
      <c r="D96" s="583"/>
      <c r="E96" s="583"/>
      <c r="F96" s="583"/>
      <c r="G96" s="583"/>
      <c r="H96" s="583"/>
      <c r="I96" s="583"/>
      <c r="J96" s="456"/>
      <c r="K96" s="652"/>
      <c r="L96" s="652"/>
      <c r="M96" s="652"/>
      <c r="N96" s="652"/>
      <c r="O96" s="652"/>
      <c r="P96" s="587" t="s">
        <v>3377</v>
      </c>
      <c r="Q96" s="587"/>
      <c r="R96" s="485"/>
      <c r="S96" s="486"/>
      <c r="T96" s="652"/>
      <c r="U96" s="652"/>
      <c r="V96" s="652"/>
      <c r="W96" s="652"/>
      <c r="X96" s="652"/>
      <c r="Y96" s="587" t="s">
        <v>3377</v>
      </c>
      <c r="Z96" s="587"/>
      <c r="AA96" s="485"/>
      <c r="AB96" s="486"/>
      <c r="AC96" s="652"/>
      <c r="AD96" s="652"/>
      <c r="AE96" s="652"/>
      <c r="AF96" s="652"/>
      <c r="AG96" s="652"/>
      <c r="AH96" s="587" t="s">
        <v>3377</v>
      </c>
      <c r="AI96" s="587"/>
      <c r="AJ96" s="447"/>
      <c r="AK96" s="435"/>
      <c r="AL96" s="436"/>
    </row>
    <row r="97" spans="1:38" ht="12" customHeight="1" x14ac:dyDescent="0.15">
      <c r="A97" s="434"/>
      <c r="B97" s="590" t="s">
        <v>3378</v>
      </c>
      <c r="C97" s="591"/>
      <c r="D97" s="591"/>
      <c r="E97" s="591"/>
      <c r="F97" s="591"/>
      <c r="G97" s="591"/>
      <c r="H97" s="591"/>
      <c r="I97" s="591"/>
      <c r="J97" s="466"/>
      <c r="K97" s="432"/>
      <c r="L97" s="432"/>
      <c r="M97" s="432"/>
      <c r="N97" s="432"/>
      <c r="O97" s="432"/>
      <c r="P97" s="432"/>
      <c r="Q97" s="432"/>
      <c r="R97" s="487"/>
      <c r="S97" s="488"/>
      <c r="T97" s="635"/>
      <c r="U97" s="635"/>
      <c r="V97" s="635"/>
      <c r="W97" s="635"/>
      <c r="X97" s="635"/>
      <c r="Y97" s="432"/>
      <c r="Z97" s="432"/>
      <c r="AA97" s="487"/>
      <c r="AB97" s="488"/>
      <c r="AC97" s="432"/>
      <c r="AD97" s="432"/>
      <c r="AE97" s="432"/>
      <c r="AF97" s="432"/>
      <c r="AG97" s="432"/>
      <c r="AH97" s="432"/>
      <c r="AI97" s="432"/>
      <c r="AJ97" s="433"/>
      <c r="AK97" s="435"/>
      <c r="AL97" s="436"/>
    </row>
    <row r="98" spans="1:38" ht="18.95" customHeight="1" x14ac:dyDescent="0.15">
      <c r="A98" s="434"/>
      <c r="B98" s="616"/>
      <c r="C98" s="617"/>
      <c r="D98" s="617"/>
      <c r="E98" s="617"/>
      <c r="F98" s="617"/>
      <c r="G98" s="617"/>
      <c r="H98" s="617"/>
      <c r="I98" s="617"/>
      <c r="J98" s="448"/>
      <c r="K98" s="624">
        <f>cst_wskakunin_p4_1_YUKA_MENSEKI_SHINSEI</f>
        <v>117.59</v>
      </c>
      <c r="L98" s="624"/>
      <c r="M98" s="624"/>
      <c r="N98" s="624"/>
      <c r="O98" s="624"/>
      <c r="P98" s="636" t="s">
        <v>79</v>
      </c>
      <c r="Q98" s="636"/>
      <c r="R98" s="490"/>
      <c r="S98" s="491"/>
      <c r="T98" s="637" t="str">
        <f>cst_wskakunin_p4_2_YUKA_MENSEKI_SHINSEI</f>
        <v/>
      </c>
      <c r="U98" s="637"/>
      <c r="V98" s="637"/>
      <c r="W98" s="637"/>
      <c r="X98" s="637"/>
      <c r="Y98" s="636" t="s">
        <v>79</v>
      </c>
      <c r="Z98" s="636"/>
      <c r="AA98" s="490"/>
      <c r="AB98" s="491"/>
      <c r="AC98" s="624" t="str">
        <f>cst_wskakunin_p4_3_YUKA_MENSEKI_SHINSEI</f>
        <v/>
      </c>
      <c r="AD98" s="624"/>
      <c r="AE98" s="624"/>
      <c r="AF98" s="624"/>
      <c r="AG98" s="624"/>
      <c r="AH98" s="636" t="s">
        <v>79</v>
      </c>
      <c r="AI98" s="636"/>
      <c r="AJ98" s="450"/>
      <c r="AK98" s="435"/>
      <c r="AL98" s="436"/>
    </row>
    <row r="99" spans="1:38" ht="8.4499999999999993" hidden="1" customHeight="1" x14ac:dyDescent="0.15">
      <c r="A99" s="434"/>
      <c r="B99" s="492"/>
      <c r="C99" s="492"/>
      <c r="D99" s="492"/>
      <c r="E99" s="492"/>
      <c r="F99" s="492"/>
      <c r="G99" s="492"/>
      <c r="H99" s="492"/>
      <c r="I99" s="477"/>
      <c r="J99" s="434"/>
      <c r="K99" s="493"/>
      <c r="L99" s="493"/>
      <c r="M99" s="493"/>
      <c r="N99" s="493"/>
      <c r="O99" s="451"/>
      <c r="P99" s="451"/>
      <c r="Q99" s="435"/>
      <c r="R99" s="494"/>
      <c r="S99" s="495"/>
      <c r="T99" s="493"/>
      <c r="U99" s="493"/>
      <c r="V99" s="493"/>
      <c r="W99" s="493"/>
      <c r="X99" s="451"/>
      <c r="Y99" s="451"/>
      <c r="Z99" s="435"/>
      <c r="AA99" s="494"/>
      <c r="AB99" s="495"/>
      <c r="AC99" s="493"/>
      <c r="AD99" s="493"/>
      <c r="AE99" s="493"/>
      <c r="AF99" s="493"/>
      <c r="AG99" s="451"/>
      <c r="AH99" s="451"/>
      <c r="AI99" s="435"/>
      <c r="AJ99" s="436"/>
      <c r="AK99" s="435"/>
      <c r="AL99" s="436"/>
    </row>
    <row r="100" spans="1:38" ht="23.1" customHeight="1" x14ac:dyDescent="0.15">
      <c r="A100" s="434"/>
      <c r="B100" s="590" t="s">
        <v>3379</v>
      </c>
      <c r="C100" s="591"/>
      <c r="D100" s="591"/>
      <c r="E100" s="591"/>
      <c r="F100" s="591"/>
      <c r="G100" s="591"/>
      <c r="H100" s="591"/>
      <c r="I100" s="607"/>
      <c r="J100" s="496" t="s">
        <v>3380</v>
      </c>
      <c r="K100" s="628" t="s">
        <v>2590</v>
      </c>
      <c r="L100" s="629"/>
      <c r="M100" s="630"/>
      <c r="N100" s="631"/>
      <c r="O100" s="631"/>
      <c r="P100" s="631"/>
      <c r="Q100" s="631"/>
      <c r="R100" s="632"/>
      <c r="S100" s="433" t="s">
        <v>3380</v>
      </c>
      <c r="T100" s="628" t="s">
        <v>2590</v>
      </c>
      <c r="U100" s="629"/>
      <c r="V100" s="630"/>
      <c r="W100" s="633"/>
      <c r="X100" s="631"/>
      <c r="Y100" s="631"/>
      <c r="Z100" s="631"/>
      <c r="AA100" s="632"/>
      <c r="AB100" s="433" t="s">
        <v>3380</v>
      </c>
      <c r="AC100" s="628" t="s">
        <v>2590</v>
      </c>
      <c r="AD100" s="629"/>
      <c r="AE100" s="630"/>
      <c r="AF100" s="633"/>
      <c r="AG100" s="631"/>
      <c r="AH100" s="631"/>
      <c r="AI100" s="631"/>
      <c r="AJ100" s="634"/>
      <c r="AK100" s="435"/>
      <c r="AL100" s="436"/>
    </row>
    <row r="101" spans="1:38" ht="23.1" customHeight="1" x14ac:dyDescent="0.15">
      <c r="A101" s="434"/>
      <c r="B101" s="638"/>
      <c r="C101" s="639"/>
      <c r="D101" s="639"/>
      <c r="E101" s="639"/>
      <c r="F101" s="639"/>
      <c r="G101" s="639"/>
      <c r="H101" s="639"/>
      <c r="I101" s="640"/>
      <c r="J101" s="497"/>
      <c r="K101" s="628" t="s">
        <v>3381</v>
      </c>
      <c r="L101" s="629"/>
      <c r="M101" s="630"/>
      <c r="N101" s="586"/>
      <c r="O101" s="586"/>
      <c r="P101" s="586"/>
      <c r="Q101" s="586"/>
      <c r="R101" s="485" t="s">
        <v>79</v>
      </c>
      <c r="S101" s="450"/>
      <c r="T101" s="628" t="s">
        <v>3381</v>
      </c>
      <c r="U101" s="629"/>
      <c r="V101" s="629"/>
      <c r="W101" s="598"/>
      <c r="X101" s="599"/>
      <c r="Y101" s="599"/>
      <c r="Z101" s="599"/>
      <c r="AA101" s="485" t="s">
        <v>79</v>
      </c>
      <c r="AB101" s="450"/>
      <c r="AC101" s="628" t="s">
        <v>3381</v>
      </c>
      <c r="AD101" s="629"/>
      <c r="AE101" s="629"/>
      <c r="AF101" s="598"/>
      <c r="AG101" s="599"/>
      <c r="AH101" s="599"/>
      <c r="AI101" s="599"/>
      <c r="AJ101" s="447" t="s">
        <v>79</v>
      </c>
      <c r="AK101" s="435"/>
      <c r="AL101" s="436"/>
    </row>
    <row r="102" spans="1:38" ht="23.1" customHeight="1" x14ac:dyDescent="0.15">
      <c r="A102" s="434"/>
      <c r="B102" s="638"/>
      <c r="C102" s="639"/>
      <c r="D102" s="639"/>
      <c r="E102" s="639"/>
      <c r="F102" s="639"/>
      <c r="G102" s="639"/>
      <c r="H102" s="639"/>
      <c r="I102" s="640"/>
      <c r="J102" s="496" t="s">
        <v>3382</v>
      </c>
      <c r="K102" s="628" t="s">
        <v>2590</v>
      </c>
      <c r="L102" s="629"/>
      <c r="M102" s="630"/>
      <c r="N102" s="631"/>
      <c r="O102" s="631"/>
      <c r="P102" s="631"/>
      <c r="Q102" s="631"/>
      <c r="R102" s="632"/>
      <c r="S102" s="433" t="s">
        <v>3382</v>
      </c>
      <c r="T102" s="628" t="s">
        <v>2590</v>
      </c>
      <c r="U102" s="629"/>
      <c r="V102" s="630"/>
      <c r="W102" s="633"/>
      <c r="X102" s="631"/>
      <c r="Y102" s="631"/>
      <c r="Z102" s="631"/>
      <c r="AA102" s="632"/>
      <c r="AB102" s="433" t="s">
        <v>3382</v>
      </c>
      <c r="AC102" s="628" t="s">
        <v>2590</v>
      </c>
      <c r="AD102" s="629"/>
      <c r="AE102" s="630"/>
      <c r="AF102" s="633"/>
      <c r="AG102" s="631"/>
      <c r="AH102" s="631"/>
      <c r="AI102" s="631"/>
      <c r="AJ102" s="634"/>
      <c r="AK102" s="435"/>
      <c r="AL102" s="436"/>
    </row>
    <row r="103" spans="1:38" ht="23.1" customHeight="1" x14ac:dyDescent="0.15">
      <c r="A103" s="434"/>
      <c r="B103" s="638"/>
      <c r="C103" s="639"/>
      <c r="D103" s="639"/>
      <c r="E103" s="639"/>
      <c r="F103" s="639"/>
      <c r="G103" s="639"/>
      <c r="H103" s="639"/>
      <c r="I103" s="640"/>
      <c r="J103" s="497"/>
      <c r="K103" s="628" t="s">
        <v>3381</v>
      </c>
      <c r="L103" s="629"/>
      <c r="M103" s="630"/>
      <c r="N103" s="586"/>
      <c r="O103" s="586"/>
      <c r="P103" s="586"/>
      <c r="Q103" s="586"/>
      <c r="R103" s="485" t="s">
        <v>79</v>
      </c>
      <c r="S103" s="450"/>
      <c r="T103" s="628" t="s">
        <v>3381</v>
      </c>
      <c r="U103" s="629"/>
      <c r="V103" s="629"/>
      <c r="W103" s="598"/>
      <c r="X103" s="599"/>
      <c r="Y103" s="599"/>
      <c r="Z103" s="599"/>
      <c r="AA103" s="485" t="s">
        <v>79</v>
      </c>
      <c r="AB103" s="450"/>
      <c r="AC103" s="628" t="s">
        <v>3381</v>
      </c>
      <c r="AD103" s="629"/>
      <c r="AE103" s="629"/>
      <c r="AF103" s="598"/>
      <c r="AG103" s="599"/>
      <c r="AH103" s="599"/>
      <c r="AI103" s="599"/>
      <c r="AJ103" s="447" t="s">
        <v>79</v>
      </c>
      <c r="AK103" s="435"/>
      <c r="AL103" s="436"/>
    </row>
    <row r="104" spans="1:38" ht="23.1" customHeight="1" x14ac:dyDescent="0.15">
      <c r="A104" s="434"/>
      <c r="B104" s="638"/>
      <c r="C104" s="639"/>
      <c r="D104" s="639"/>
      <c r="E104" s="639"/>
      <c r="F104" s="639"/>
      <c r="G104" s="639"/>
      <c r="H104" s="639"/>
      <c r="I104" s="640"/>
      <c r="J104" s="466" t="s">
        <v>3383</v>
      </c>
      <c r="K104" s="628" t="s">
        <v>2590</v>
      </c>
      <c r="L104" s="629"/>
      <c r="M104" s="630"/>
      <c r="N104" s="631"/>
      <c r="O104" s="631"/>
      <c r="P104" s="631"/>
      <c r="Q104" s="631"/>
      <c r="R104" s="632"/>
      <c r="S104" s="432" t="s">
        <v>3383</v>
      </c>
      <c r="T104" s="628" t="s">
        <v>2590</v>
      </c>
      <c r="U104" s="629"/>
      <c r="V104" s="630"/>
      <c r="W104" s="633"/>
      <c r="X104" s="631"/>
      <c r="Y104" s="631"/>
      <c r="Z104" s="631"/>
      <c r="AA104" s="632"/>
      <c r="AB104" s="432" t="s">
        <v>3383</v>
      </c>
      <c r="AC104" s="628" t="s">
        <v>2590</v>
      </c>
      <c r="AD104" s="629"/>
      <c r="AE104" s="630"/>
      <c r="AF104" s="633"/>
      <c r="AG104" s="631"/>
      <c r="AH104" s="631"/>
      <c r="AI104" s="631"/>
      <c r="AJ104" s="634"/>
      <c r="AK104" s="435"/>
      <c r="AL104" s="436"/>
    </row>
    <row r="105" spans="1:38" ht="23.1" customHeight="1" x14ac:dyDescent="0.15">
      <c r="A105" s="434"/>
      <c r="B105" s="616"/>
      <c r="C105" s="617"/>
      <c r="D105" s="617"/>
      <c r="E105" s="617"/>
      <c r="F105" s="617"/>
      <c r="G105" s="617"/>
      <c r="H105" s="617"/>
      <c r="I105" s="618"/>
      <c r="J105" s="448"/>
      <c r="K105" s="628" t="s">
        <v>3381</v>
      </c>
      <c r="L105" s="629"/>
      <c r="M105" s="630"/>
      <c r="N105" s="599"/>
      <c r="O105" s="599"/>
      <c r="P105" s="599"/>
      <c r="Q105" s="599"/>
      <c r="R105" s="485" t="s">
        <v>79</v>
      </c>
      <c r="S105" s="449"/>
      <c r="T105" s="628" t="s">
        <v>3381</v>
      </c>
      <c r="U105" s="629"/>
      <c r="V105" s="629"/>
      <c r="W105" s="598"/>
      <c r="X105" s="599"/>
      <c r="Y105" s="599"/>
      <c r="Z105" s="599"/>
      <c r="AA105" s="485" t="s">
        <v>79</v>
      </c>
      <c r="AB105" s="449"/>
      <c r="AC105" s="628" t="s">
        <v>3381</v>
      </c>
      <c r="AD105" s="629"/>
      <c r="AE105" s="629"/>
      <c r="AF105" s="598"/>
      <c r="AG105" s="599"/>
      <c r="AH105" s="599"/>
      <c r="AI105" s="599"/>
      <c r="AJ105" s="447" t="s">
        <v>79</v>
      </c>
      <c r="AK105" s="435"/>
      <c r="AL105" s="436"/>
    </row>
    <row r="106" spans="1:38" ht="23.1" customHeight="1" x14ac:dyDescent="0.15">
      <c r="A106" s="434"/>
      <c r="B106" s="608" t="s">
        <v>3384</v>
      </c>
      <c r="C106" s="609"/>
      <c r="D106" s="609"/>
      <c r="E106" s="609"/>
      <c r="F106" s="609"/>
      <c r="G106" s="609"/>
      <c r="H106" s="609"/>
      <c r="I106" s="609"/>
      <c r="J106" s="456"/>
      <c r="K106" s="586"/>
      <c r="L106" s="586"/>
      <c r="M106" s="586"/>
      <c r="N106" s="586"/>
      <c r="O106" s="586"/>
      <c r="P106" s="587" t="s">
        <v>3385</v>
      </c>
      <c r="Q106" s="587"/>
      <c r="R106" s="485"/>
      <c r="S106" s="486"/>
      <c r="T106" s="586"/>
      <c r="U106" s="586"/>
      <c r="V106" s="586"/>
      <c r="W106" s="586"/>
      <c r="X106" s="586"/>
      <c r="Y106" s="587" t="s">
        <v>3385</v>
      </c>
      <c r="Z106" s="587"/>
      <c r="AA106" s="485"/>
      <c r="AB106" s="486"/>
      <c r="AC106" s="586"/>
      <c r="AD106" s="586"/>
      <c r="AE106" s="586"/>
      <c r="AF106" s="586"/>
      <c r="AG106" s="586"/>
      <c r="AH106" s="587" t="s">
        <v>3385</v>
      </c>
      <c r="AI106" s="587"/>
      <c r="AJ106" s="447"/>
      <c r="AK106" s="435"/>
      <c r="AL106" s="436"/>
    </row>
    <row r="107" spans="1:38" ht="8.4499999999999993" hidden="1" customHeight="1" x14ac:dyDescent="0.15">
      <c r="A107" s="434"/>
      <c r="B107" s="626"/>
      <c r="C107" s="627"/>
      <c r="D107" s="627"/>
      <c r="E107" s="627"/>
      <c r="F107" s="627"/>
      <c r="G107" s="627"/>
      <c r="H107" s="627"/>
      <c r="I107" s="627"/>
      <c r="J107" s="434"/>
      <c r="K107" s="489"/>
      <c r="L107" s="489"/>
      <c r="M107" s="489"/>
      <c r="N107" s="489"/>
      <c r="O107" s="451"/>
      <c r="P107" s="451"/>
      <c r="Q107" s="435"/>
      <c r="R107" s="494"/>
      <c r="S107" s="495"/>
      <c r="T107" s="489"/>
      <c r="U107" s="489"/>
      <c r="V107" s="489"/>
      <c r="W107" s="489"/>
      <c r="X107" s="451"/>
      <c r="Y107" s="451"/>
      <c r="Z107" s="435"/>
      <c r="AA107" s="494"/>
      <c r="AB107" s="495"/>
      <c r="AC107" s="489"/>
      <c r="AD107" s="489"/>
      <c r="AE107" s="489"/>
      <c r="AF107" s="489"/>
      <c r="AG107" s="451"/>
      <c r="AH107" s="451"/>
      <c r="AI107" s="435"/>
      <c r="AJ107" s="436"/>
      <c r="AK107" s="435"/>
      <c r="AL107" s="436"/>
    </row>
    <row r="108" spans="1:38" ht="17.45" customHeight="1" x14ac:dyDescent="0.15">
      <c r="A108" s="434"/>
      <c r="B108" s="611"/>
      <c r="C108" s="612"/>
      <c r="D108" s="612"/>
      <c r="E108" s="612"/>
      <c r="F108" s="612"/>
      <c r="G108" s="612"/>
      <c r="H108" s="612"/>
      <c r="I108" s="612"/>
      <c r="J108" s="498" t="s">
        <v>554</v>
      </c>
      <c r="K108" s="499"/>
      <c r="M108" s="499"/>
      <c r="N108" s="500" t="s">
        <v>3386</v>
      </c>
      <c r="O108" s="452"/>
      <c r="P108" s="452"/>
      <c r="Q108" s="449"/>
      <c r="R108" s="490"/>
      <c r="S108" s="338" t="s">
        <v>554</v>
      </c>
      <c r="T108" s="499"/>
      <c r="V108" s="499"/>
      <c r="W108" s="500" t="s">
        <v>3386</v>
      </c>
      <c r="X108" s="452"/>
      <c r="Y108" s="452"/>
      <c r="Z108" s="449"/>
      <c r="AA108" s="490"/>
      <c r="AB108" s="338" t="s">
        <v>554</v>
      </c>
      <c r="AC108" s="499"/>
      <c r="AE108" s="499"/>
      <c r="AF108" s="500" t="s">
        <v>3386</v>
      </c>
      <c r="AG108" s="452"/>
      <c r="AH108" s="452"/>
      <c r="AI108" s="449"/>
      <c r="AJ108" s="450"/>
      <c r="AK108" s="435"/>
      <c r="AL108" s="436"/>
    </row>
    <row r="109" spans="1:38" ht="11.45" customHeight="1" x14ac:dyDescent="0.15">
      <c r="A109" s="434"/>
      <c r="B109" s="590" t="s">
        <v>3387</v>
      </c>
      <c r="C109" s="591"/>
      <c r="D109" s="591"/>
      <c r="E109" s="591"/>
      <c r="F109" s="591"/>
      <c r="G109" s="591"/>
      <c r="H109" s="591"/>
      <c r="I109" s="591"/>
      <c r="J109" s="466"/>
      <c r="K109" s="501"/>
      <c r="L109" s="501"/>
      <c r="M109" s="501"/>
      <c r="N109" s="501"/>
      <c r="O109" s="501"/>
      <c r="P109" s="501"/>
      <c r="Q109" s="432"/>
      <c r="R109" s="487"/>
      <c r="S109" s="488"/>
      <c r="T109" s="501"/>
      <c r="U109" s="501"/>
      <c r="V109" s="501"/>
      <c r="W109" s="501"/>
      <c r="X109" s="501"/>
      <c r="Y109" s="501"/>
      <c r="Z109" s="432"/>
      <c r="AA109" s="487"/>
      <c r="AB109" s="488"/>
      <c r="AC109" s="501"/>
      <c r="AD109" s="501"/>
      <c r="AE109" s="501"/>
      <c r="AF109" s="501"/>
      <c r="AG109" s="501"/>
      <c r="AH109" s="501"/>
      <c r="AI109" s="432"/>
      <c r="AJ109" s="433"/>
      <c r="AK109" s="435"/>
      <c r="AL109" s="436"/>
    </row>
    <row r="110" spans="1:38" ht="18.95" customHeight="1" x14ac:dyDescent="0.15">
      <c r="A110" s="434"/>
      <c r="B110" s="616"/>
      <c r="C110" s="617"/>
      <c r="D110" s="617"/>
      <c r="E110" s="617"/>
      <c r="F110" s="617"/>
      <c r="G110" s="617"/>
      <c r="H110" s="617"/>
      <c r="I110" s="617"/>
      <c r="J110" s="448"/>
      <c r="K110" s="624">
        <f>cst_wskakunin_p4_1_KAISU_TIKAI_NOZOKU</f>
        <v>1</v>
      </c>
      <c r="L110" s="624"/>
      <c r="M110" s="624"/>
      <c r="N110" s="624"/>
      <c r="O110" s="624"/>
      <c r="P110" s="625" t="s">
        <v>441</v>
      </c>
      <c r="Q110" s="625"/>
      <c r="R110" s="490"/>
      <c r="S110" s="491"/>
      <c r="T110" s="624" t="str">
        <f>cst_wskakunin_p4_2_KAISU_TIKAI_NOZOKU</f>
        <v/>
      </c>
      <c r="U110" s="624"/>
      <c r="V110" s="624"/>
      <c r="W110" s="624"/>
      <c r="X110" s="624"/>
      <c r="Y110" s="625" t="s">
        <v>441</v>
      </c>
      <c r="Z110" s="625"/>
      <c r="AA110" s="490"/>
      <c r="AB110" s="491"/>
      <c r="AC110" s="624" t="str">
        <f>cst_wskakunin_p4_3_KAISU_TIKAI_NOZOKU</f>
        <v/>
      </c>
      <c r="AD110" s="624"/>
      <c r="AE110" s="624"/>
      <c r="AF110" s="624"/>
      <c r="AG110" s="624"/>
      <c r="AH110" s="625" t="s">
        <v>441</v>
      </c>
      <c r="AI110" s="625"/>
      <c r="AJ110" s="450"/>
      <c r="AK110" s="435"/>
      <c r="AL110" s="436"/>
    </row>
    <row r="111" spans="1:38" ht="12" customHeight="1" x14ac:dyDescent="0.15">
      <c r="A111" s="434"/>
      <c r="B111" s="590" t="s">
        <v>3388</v>
      </c>
      <c r="C111" s="591"/>
      <c r="D111" s="591"/>
      <c r="E111" s="591"/>
      <c r="F111" s="591"/>
      <c r="G111" s="591"/>
      <c r="H111" s="591"/>
      <c r="I111" s="591"/>
      <c r="J111" s="466"/>
      <c r="K111" s="623"/>
      <c r="L111" s="623"/>
      <c r="M111" s="623"/>
      <c r="N111" s="623"/>
      <c r="O111" s="623"/>
      <c r="P111" s="623"/>
      <c r="Q111" s="432"/>
      <c r="R111" s="487"/>
      <c r="S111" s="488"/>
      <c r="T111" s="623"/>
      <c r="U111" s="623"/>
      <c r="V111" s="623"/>
      <c r="W111" s="623"/>
      <c r="X111" s="623"/>
      <c r="Y111" s="623"/>
      <c r="Z111" s="432"/>
      <c r="AA111" s="487"/>
      <c r="AB111" s="488"/>
      <c r="AC111" s="623"/>
      <c r="AD111" s="623"/>
      <c r="AE111" s="623"/>
      <c r="AF111" s="623"/>
      <c r="AG111" s="623"/>
      <c r="AH111" s="623"/>
      <c r="AI111" s="432"/>
      <c r="AJ111" s="433"/>
      <c r="AK111" s="435"/>
      <c r="AL111" s="436"/>
    </row>
    <row r="112" spans="1:38" ht="18.95" customHeight="1" x14ac:dyDescent="0.15">
      <c r="A112" s="434"/>
      <c r="B112" s="616"/>
      <c r="C112" s="617"/>
      <c r="D112" s="617"/>
      <c r="E112" s="617"/>
      <c r="F112" s="617"/>
      <c r="G112" s="617"/>
      <c r="H112" s="617"/>
      <c r="I112" s="617"/>
      <c r="J112" s="448"/>
      <c r="K112" s="449" t="s">
        <v>442</v>
      </c>
      <c r="L112" s="449"/>
      <c r="M112" s="624" t="str">
        <f>cst_wskakunin_p4_1_KAISU_TIKAI</f>
        <v/>
      </c>
      <c r="N112" s="624"/>
      <c r="O112" s="624"/>
      <c r="P112" s="625" t="s">
        <v>441</v>
      </c>
      <c r="Q112" s="625"/>
      <c r="R112" s="490"/>
      <c r="S112" s="491"/>
      <c r="T112" s="449" t="s">
        <v>442</v>
      </c>
      <c r="U112" s="449"/>
      <c r="V112" s="624" t="str">
        <f>cst_wskakunin_p4_2_KAISU_TIKAI</f>
        <v/>
      </c>
      <c r="W112" s="624"/>
      <c r="X112" s="624"/>
      <c r="Y112" s="625" t="s">
        <v>441</v>
      </c>
      <c r="Z112" s="625"/>
      <c r="AA112" s="490"/>
      <c r="AB112" s="491"/>
      <c r="AC112" s="449" t="s">
        <v>442</v>
      </c>
      <c r="AD112" s="449"/>
      <c r="AE112" s="624" t="str">
        <f>cst_wskakunin_p4_3_KAISU_TIKAI</f>
        <v/>
      </c>
      <c r="AF112" s="624"/>
      <c r="AG112" s="624"/>
      <c r="AH112" s="625" t="s">
        <v>441</v>
      </c>
      <c r="AI112" s="625"/>
      <c r="AJ112" s="450"/>
      <c r="AK112" s="435"/>
      <c r="AL112" s="436"/>
    </row>
    <row r="113" spans="1:38" ht="3.95" customHeight="1" x14ac:dyDescent="0.15">
      <c r="A113" s="434"/>
      <c r="B113" s="435"/>
      <c r="C113" s="435"/>
      <c r="D113" s="435"/>
      <c r="E113" s="435"/>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435"/>
      <c r="AC113" s="435"/>
      <c r="AD113" s="435"/>
      <c r="AE113" s="435"/>
      <c r="AF113" s="435"/>
      <c r="AG113" s="435"/>
      <c r="AH113" s="435"/>
      <c r="AI113" s="435"/>
      <c r="AJ113" s="435"/>
      <c r="AK113" s="435"/>
      <c r="AL113" s="436"/>
    </row>
    <row r="114" spans="1:38" ht="3.95" customHeight="1" x14ac:dyDescent="0.15">
      <c r="A114" s="434"/>
      <c r="B114" s="435"/>
      <c r="C114" s="435"/>
      <c r="D114" s="435"/>
      <c r="E114" s="435"/>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35"/>
      <c r="AE114" s="435"/>
      <c r="AF114" s="435"/>
      <c r="AG114" s="435"/>
      <c r="AH114" s="435"/>
      <c r="AI114" s="435"/>
      <c r="AJ114" s="435"/>
      <c r="AK114" s="435"/>
      <c r="AL114" s="436"/>
    </row>
    <row r="115" spans="1:38" ht="23.1" customHeight="1" x14ac:dyDescent="0.15">
      <c r="A115" s="620" t="s">
        <v>54</v>
      </c>
      <c r="B115" s="602"/>
      <c r="C115" s="602"/>
      <c r="D115" s="602"/>
      <c r="E115" s="602"/>
      <c r="F115" s="602"/>
      <c r="G115" s="602"/>
      <c r="H115" s="602"/>
      <c r="I115" s="602"/>
      <c r="J115" s="602"/>
      <c r="K115" s="602"/>
      <c r="L115" s="602"/>
      <c r="M115" s="602"/>
      <c r="N115" s="602"/>
      <c r="O115" s="602"/>
      <c r="R115" s="502"/>
      <c r="S115" s="621">
        <f>cst_wskakunin_SHIKITI_MENSEKI_1_TOTAL</f>
        <v>367</v>
      </c>
      <c r="T115" s="622"/>
      <c r="U115" s="622"/>
      <c r="V115" s="622"/>
      <c r="W115" s="622"/>
      <c r="X115" s="622"/>
      <c r="Y115" s="622"/>
      <c r="Z115" s="622"/>
      <c r="AA115" s="444" t="s">
        <v>79</v>
      </c>
      <c r="AB115" s="445"/>
      <c r="AC115" s="503"/>
      <c r="AD115" s="503"/>
      <c r="AG115" s="435"/>
      <c r="AH115" s="435"/>
      <c r="AI115" s="435"/>
      <c r="AJ115" s="435"/>
      <c r="AK115" s="435"/>
      <c r="AL115" s="436"/>
    </row>
    <row r="116" spans="1:38" ht="2.4500000000000002" customHeight="1" x14ac:dyDescent="0.15">
      <c r="A116" s="448"/>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449"/>
      <c r="AD116" s="449"/>
      <c r="AE116" s="449"/>
      <c r="AF116" s="449"/>
      <c r="AG116" s="449"/>
      <c r="AH116" s="449"/>
      <c r="AI116" s="449"/>
      <c r="AJ116" s="449"/>
      <c r="AK116" s="449"/>
      <c r="AL116" s="450"/>
    </row>
    <row r="117" spans="1:38" ht="3.95" customHeight="1" x14ac:dyDescent="0.15">
      <c r="A117" s="435"/>
      <c r="B117" s="435"/>
      <c r="C117" s="435"/>
      <c r="D117" s="435"/>
      <c r="E117" s="435"/>
      <c r="F117" s="435"/>
      <c r="G117" s="435"/>
      <c r="H117" s="435"/>
      <c r="I117" s="435"/>
      <c r="J117" s="435"/>
      <c r="K117" s="435"/>
      <c r="L117" s="435"/>
      <c r="M117" s="435"/>
      <c r="N117" s="435"/>
      <c r="O117" s="435"/>
      <c r="P117" s="435"/>
      <c r="Q117" s="435"/>
      <c r="R117" s="435"/>
      <c r="S117" s="435"/>
      <c r="T117" s="435"/>
      <c r="U117" s="435"/>
      <c r="V117" s="435"/>
      <c r="W117" s="435"/>
      <c r="X117" s="435"/>
      <c r="Y117" s="435"/>
      <c r="Z117" s="435"/>
      <c r="AA117" s="435"/>
      <c r="AB117" s="435"/>
      <c r="AC117" s="435"/>
      <c r="AD117" s="435"/>
      <c r="AE117" s="435"/>
      <c r="AF117" s="435"/>
      <c r="AG117" s="435"/>
      <c r="AH117" s="435"/>
      <c r="AI117" s="435"/>
      <c r="AJ117" s="435"/>
      <c r="AK117" s="435"/>
      <c r="AL117" s="435"/>
    </row>
    <row r="118" spans="1:38" ht="15" customHeight="1" x14ac:dyDescent="0.15">
      <c r="A118" s="602" t="s">
        <v>55</v>
      </c>
      <c r="B118" s="602"/>
      <c r="C118" s="602"/>
      <c r="D118" s="602"/>
      <c r="E118" s="602"/>
      <c r="F118" s="602"/>
      <c r="G118" s="602"/>
      <c r="H118" s="602"/>
      <c r="I118" s="602"/>
      <c r="J118" s="602"/>
      <c r="K118" s="602"/>
      <c r="L118" s="602"/>
      <c r="M118" s="602"/>
      <c r="N118" s="602"/>
      <c r="O118" s="602"/>
      <c r="P118" s="602"/>
      <c r="Q118" s="602"/>
      <c r="R118" s="602"/>
      <c r="S118" s="602"/>
      <c r="T118" s="602"/>
      <c r="U118" s="602"/>
      <c r="V118" s="602"/>
      <c r="W118" s="602"/>
      <c r="X118" s="602"/>
      <c r="Y118" s="602"/>
      <c r="Z118" s="602"/>
      <c r="AA118" s="602"/>
      <c r="AB118" s="602"/>
      <c r="AC118" s="602"/>
      <c r="AD118" s="602"/>
      <c r="AE118" s="602"/>
      <c r="AF118" s="602"/>
      <c r="AG118" s="602"/>
      <c r="AH118" s="602"/>
      <c r="AI118" s="602"/>
      <c r="AJ118" s="602"/>
      <c r="AK118" s="451"/>
      <c r="AL118" s="451"/>
    </row>
    <row r="119" spans="1:38" ht="2.25" customHeight="1" x14ac:dyDescent="0.15">
      <c r="A119" s="435"/>
      <c r="B119" s="435"/>
      <c r="C119" s="435"/>
      <c r="D119" s="435"/>
      <c r="E119" s="435"/>
      <c r="F119" s="435"/>
      <c r="G119" s="435"/>
      <c r="H119" s="435"/>
      <c r="I119" s="435"/>
      <c r="J119" s="435"/>
      <c r="K119" s="435"/>
      <c r="L119" s="435"/>
      <c r="M119" s="435"/>
      <c r="N119" s="435"/>
      <c r="O119" s="435"/>
      <c r="P119" s="435"/>
      <c r="Q119" s="435"/>
      <c r="R119" s="435"/>
      <c r="S119" s="435"/>
      <c r="T119" s="435"/>
      <c r="U119" s="435"/>
      <c r="V119" s="435"/>
      <c r="W119" s="435"/>
      <c r="X119" s="435"/>
      <c r="Y119" s="435"/>
      <c r="Z119" s="435"/>
      <c r="AA119" s="435"/>
      <c r="AB119" s="435"/>
      <c r="AC119" s="435"/>
      <c r="AD119" s="435"/>
      <c r="AE119" s="435"/>
      <c r="AF119" s="435"/>
      <c r="AG119" s="435"/>
      <c r="AH119" s="435"/>
      <c r="AI119" s="435"/>
      <c r="AJ119" s="435"/>
      <c r="AK119" s="435"/>
      <c r="AL119" s="435"/>
    </row>
    <row r="120" spans="1:38" ht="2.25" customHeight="1" x14ac:dyDescent="0.15">
      <c r="A120" s="466"/>
      <c r="B120" s="432"/>
      <c r="C120" s="432"/>
      <c r="D120" s="432"/>
      <c r="E120" s="432"/>
      <c r="F120" s="432"/>
      <c r="G120" s="432"/>
      <c r="H120" s="432"/>
      <c r="I120" s="432"/>
      <c r="J120" s="432"/>
      <c r="K120" s="432"/>
      <c r="L120" s="432"/>
      <c r="M120" s="432"/>
      <c r="N120" s="432"/>
      <c r="O120" s="432"/>
      <c r="P120" s="432"/>
      <c r="Q120" s="432"/>
      <c r="R120" s="432"/>
      <c r="S120" s="432"/>
      <c r="T120" s="432"/>
      <c r="U120" s="432"/>
      <c r="V120" s="432"/>
      <c r="W120" s="432"/>
      <c r="X120" s="432"/>
      <c r="Y120" s="432"/>
      <c r="Z120" s="432"/>
      <c r="AA120" s="432"/>
      <c r="AB120" s="432"/>
      <c r="AC120" s="432"/>
      <c r="AD120" s="432"/>
      <c r="AE120" s="432"/>
      <c r="AF120" s="432"/>
      <c r="AG120" s="432"/>
      <c r="AH120" s="432"/>
      <c r="AI120" s="432"/>
      <c r="AJ120" s="432"/>
      <c r="AK120" s="432"/>
      <c r="AL120" s="433"/>
    </row>
    <row r="121" spans="1:38" ht="14.45" customHeight="1" x14ac:dyDescent="0.15">
      <c r="A121" s="434" t="s">
        <v>3389</v>
      </c>
      <c r="B121" s="435"/>
      <c r="C121" s="435"/>
      <c r="D121" s="435"/>
      <c r="E121" s="435"/>
      <c r="F121" s="435"/>
      <c r="G121" s="435"/>
      <c r="H121" s="435"/>
      <c r="I121" s="435"/>
      <c r="J121" s="435"/>
      <c r="K121" s="435"/>
      <c r="L121" s="435"/>
      <c r="M121" s="435"/>
      <c r="N121" s="435"/>
      <c r="O121" s="435"/>
      <c r="P121" s="435"/>
      <c r="Q121" s="435"/>
      <c r="R121" s="435"/>
      <c r="S121" s="435"/>
      <c r="T121" s="435"/>
      <c r="U121" s="435"/>
      <c r="V121" s="435"/>
      <c r="W121" s="435"/>
      <c r="X121" s="435"/>
      <c r="Y121" s="435"/>
      <c r="Z121" s="435"/>
      <c r="AA121" s="435"/>
      <c r="AB121" s="435"/>
      <c r="AC121" s="435"/>
      <c r="AD121" s="435"/>
      <c r="AE121" s="435"/>
      <c r="AF121" s="435"/>
      <c r="AG121" s="435"/>
      <c r="AH121" s="435"/>
      <c r="AI121" s="435"/>
      <c r="AJ121" s="435"/>
      <c r="AK121" s="435"/>
      <c r="AL121" s="436"/>
    </row>
    <row r="122" spans="1:38" ht="18" customHeight="1" x14ac:dyDescent="0.15">
      <c r="A122" s="434"/>
      <c r="B122" s="588" t="s">
        <v>3372</v>
      </c>
      <c r="C122" s="581"/>
      <c r="D122" s="581"/>
      <c r="E122" s="581"/>
      <c r="F122" s="581"/>
      <c r="G122" s="581"/>
      <c r="H122" s="581"/>
      <c r="I122" s="581"/>
      <c r="J122" s="604"/>
      <c r="K122" s="605"/>
      <c r="L122" s="605"/>
      <c r="M122" s="605"/>
      <c r="N122" s="605"/>
      <c r="O122" s="605"/>
      <c r="P122" s="606"/>
      <c r="Q122" s="504"/>
      <c r="R122" s="504"/>
      <c r="S122" s="504"/>
      <c r="T122" s="504"/>
      <c r="U122" s="504"/>
      <c r="V122" s="504"/>
      <c r="W122" s="504"/>
      <c r="X122" s="504"/>
      <c r="Y122" s="504"/>
      <c r="Z122" s="504"/>
      <c r="AA122" s="504"/>
      <c r="AB122" s="504"/>
      <c r="AC122" s="504"/>
      <c r="AD122" s="504"/>
      <c r="AE122" s="504"/>
      <c r="AF122" s="504"/>
      <c r="AG122" s="504"/>
      <c r="AH122" s="504"/>
      <c r="AI122" s="504"/>
      <c r="AJ122" s="435"/>
      <c r="AK122" s="435"/>
      <c r="AL122" s="436"/>
    </row>
    <row r="123" spans="1:38" ht="30.95" customHeight="1" x14ac:dyDescent="0.15">
      <c r="A123" s="434"/>
      <c r="B123" s="590" t="s">
        <v>3390</v>
      </c>
      <c r="C123" s="591"/>
      <c r="D123" s="591"/>
      <c r="E123" s="591"/>
      <c r="F123" s="591"/>
      <c r="G123" s="591"/>
      <c r="H123" s="591"/>
      <c r="I123" s="607"/>
      <c r="J123" s="505" t="s">
        <v>554</v>
      </c>
      <c r="K123" s="431" t="s">
        <v>3030</v>
      </c>
      <c r="L123" s="431"/>
      <c r="M123" s="431"/>
      <c r="N123" s="431"/>
      <c r="O123" s="432"/>
      <c r="P123" s="426" t="s">
        <v>554</v>
      </c>
      <c r="Q123" s="506" t="s">
        <v>3031</v>
      </c>
      <c r="R123" s="454"/>
      <c r="S123" s="454"/>
      <c r="T123" s="432"/>
      <c r="U123" s="454"/>
      <c r="V123" s="454"/>
      <c r="W123" s="432"/>
      <c r="X123" s="454"/>
      <c r="Y123" s="454"/>
      <c r="Z123" s="433"/>
      <c r="AB123" s="435"/>
      <c r="AC123" s="435"/>
      <c r="AD123" s="435"/>
      <c r="AE123" s="435"/>
      <c r="AF123" s="435"/>
      <c r="AG123" s="435"/>
      <c r="AH123" s="435"/>
      <c r="AI123" s="435"/>
      <c r="AJ123" s="435"/>
      <c r="AK123" s="435"/>
      <c r="AL123" s="436"/>
    </row>
    <row r="124" spans="1:38" ht="17.100000000000001" customHeight="1" x14ac:dyDescent="0.15">
      <c r="A124" s="434"/>
      <c r="B124" s="608" t="s">
        <v>3391</v>
      </c>
      <c r="C124" s="609"/>
      <c r="D124" s="609"/>
      <c r="E124" s="609"/>
      <c r="F124" s="609"/>
      <c r="G124" s="609"/>
      <c r="H124" s="609"/>
      <c r="I124" s="610"/>
      <c r="J124" s="505" t="s">
        <v>554</v>
      </c>
      <c r="K124" s="432" t="s">
        <v>3033</v>
      </c>
      <c r="L124" s="432"/>
      <c r="M124" s="432"/>
      <c r="N124" s="432"/>
      <c r="O124" s="432"/>
      <c r="P124" s="432"/>
      <c r="Q124" s="432"/>
      <c r="R124" s="426" t="s">
        <v>554</v>
      </c>
      <c r="S124" s="601" t="s">
        <v>3034</v>
      </c>
      <c r="T124" s="601"/>
      <c r="U124" s="601"/>
      <c r="V124" s="601"/>
      <c r="W124" s="601"/>
      <c r="X124" s="432"/>
      <c r="Y124" s="426" t="s">
        <v>554</v>
      </c>
      <c r="Z124" s="601" t="s">
        <v>3035</v>
      </c>
      <c r="AA124" s="601"/>
      <c r="AB124" s="601"/>
      <c r="AC124" s="601"/>
      <c r="AD124" s="601"/>
      <c r="AE124" s="601"/>
      <c r="AF124" s="601"/>
      <c r="AG124" s="601"/>
      <c r="AH124" s="601"/>
      <c r="AI124" s="614"/>
      <c r="AJ124" s="435"/>
      <c r="AK124" s="435"/>
      <c r="AL124" s="436"/>
    </row>
    <row r="125" spans="1:38" ht="17.100000000000001" customHeight="1" x14ac:dyDescent="0.15">
      <c r="A125" s="434"/>
      <c r="B125" s="611"/>
      <c r="C125" s="612"/>
      <c r="D125" s="612"/>
      <c r="E125" s="612"/>
      <c r="F125" s="612"/>
      <c r="G125" s="612"/>
      <c r="H125" s="612"/>
      <c r="I125" s="613"/>
      <c r="J125" s="498" t="s">
        <v>554</v>
      </c>
      <c r="K125" s="615" t="s">
        <v>3036</v>
      </c>
      <c r="L125" s="615"/>
      <c r="M125" s="615"/>
      <c r="N125" s="615"/>
      <c r="O125" s="615"/>
      <c r="P125" s="615"/>
      <c r="Q125" s="615"/>
      <c r="R125" s="615"/>
      <c r="S125" s="449"/>
      <c r="T125" s="338" t="s">
        <v>554</v>
      </c>
      <c r="U125" s="615" t="s">
        <v>3037</v>
      </c>
      <c r="V125" s="615"/>
      <c r="W125" s="615"/>
      <c r="X125" s="615"/>
      <c r="Y125" s="449"/>
      <c r="Z125" s="449"/>
      <c r="AA125" s="449"/>
      <c r="AB125" s="449"/>
      <c r="AC125" s="449"/>
      <c r="AD125" s="449"/>
      <c r="AE125" s="449"/>
      <c r="AF125" s="449"/>
      <c r="AG125" s="449"/>
      <c r="AH125" s="449"/>
      <c r="AI125" s="450"/>
      <c r="AJ125" s="435"/>
      <c r="AK125" s="435"/>
      <c r="AL125" s="436"/>
    </row>
    <row r="126" spans="1:38" ht="17.100000000000001" customHeight="1" x14ac:dyDescent="0.15">
      <c r="A126" s="434"/>
      <c r="B126" s="582" t="s">
        <v>3392</v>
      </c>
      <c r="C126" s="583"/>
      <c r="D126" s="583"/>
      <c r="E126" s="583"/>
      <c r="F126" s="583"/>
      <c r="G126" s="583"/>
      <c r="H126" s="583"/>
      <c r="I126" s="584"/>
      <c r="J126" s="498" t="s">
        <v>554</v>
      </c>
      <c r="K126" s="581" t="s">
        <v>3393</v>
      </c>
      <c r="L126" s="581"/>
      <c r="M126" s="581"/>
      <c r="N126" s="581"/>
      <c r="O126" s="581"/>
      <c r="P126" s="507"/>
      <c r="Q126" s="498" t="s">
        <v>554</v>
      </c>
      <c r="R126" s="583" t="s">
        <v>3394</v>
      </c>
      <c r="S126" s="583"/>
      <c r="T126" s="583"/>
      <c r="U126" s="583"/>
      <c r="V126" s="583"/>
      <c r="W126" s="583"/>
      <c r="X126" s="498" t="s">
        <v>554</v>
      </c>
      <c r="Y126" s="581" t="s">
        <v>3395</v>
      </c>
      <c r="Z126" s="581"/>
      <c r="AA126" s="581"/>
      <c r="AB126" s="581"/>
      <c r="AC126" s="581"/>
      <c r="AD126" s="589"/>
      <c r="AE126" s="435"/>
      <c r="AF126" s="435"/>
      <c r="AG126" s="435"/>
      <c r="AH126" s="435"/>
      <c r="AJ126" s="435"/>
      <c r="AK126" s="435"/>
      <c r="AL126" s="436"/>
    </row>
    <row r="127" spans="1:38" ht="17.100000000000001" customHeight="1" x14ac:dyDescent="0.15">
      <c r="A127" s="434"/>
      <c r="B127" s="588" t="s">
        <v>3396</v>
      </c>
      <c r="C127" s="581"/>
      <c r="D127" s="581"/>
      <c r="E127" s="581"/>
      <c r="F127" s="581"/>
      <c r="G127" s="581"/>
      <c r="H127" s="581"/>
      <c r="I127" s="589"/>
      <c r="J127" s="498" t="s">
        <v>554</v>
      </c>
      <c r="K127" s="581" t="s">
        <v>3397</v>
      </c>
      <c r="L127" s="581"/>
      <c r="M127" s="581"/>
      <c r="N127" s="581"/>
      <c r="O127" s="581"/>
      <c r="P127" s="507"/>
      <c r="Q127" s="498" t="s">
        <v>554</v>
      </c>
      <c r="R127" s="581" t="s">
        <v>3398</v>
      </c>
      <c r="S127" s="581"/>
      <c r="T127" s="581"/>
      <c r="U127" s="581"/>
      <c r="V127" s="581"/>
      <c r="W127" s="581"/>
      <c r="X127" s="498" t="s">
        <v>554</v>
      </c>
      <c r="Y127" s="583" t="s">
        <v>3399</v>
      </c>
      <c r="Z127" s="583"/>
      <c r="AA127" s="583"/>
      <c r="AB127" s="583"/>
      <c r="AC127" s="583"/>
      <c r="AD127" s="584"/>
      <c r="AE127" s="435"/>
      <c r="AF127" s="435"/>
      <c r="AG127" s="435"/>
      <c r="AH127" s="435"/>
      <c r="AJ127" s="435"/>
      <c r="AK127" s="435"/>
      <c r="AL127" s="436"/>
    </row>
    <row r="128" spans="1:38" ht="17.100000000000001" customHeight="1" x14ac:dyDescent="0.15">
      <c r="A128" s="434"/>
      <c r="B128" s="588" t="s">
        <v>3400</v>
      </c>
      <c r="C128" s="581"/>
      <c r="D128" s="581"/>
      <c r="E128" s="581"/>
      <c r="F128" s="581"/>
      <c r="G128" s="581"/>
      <c r="H128" s="581"/>
      <c r="I128" s="589"/>
      <c r="J128" s="498" t="s">
        <v>554</v>
      </c>
      <c r="K128" s="583" t="s">
        <v>61</v>
      </c>
      <c r="L128" s="583"/>
      <c r="M128" s="583"/>
      <c r="N128" s="583"/>
      <c r="O128" s="583"/>
      <c r="P128" s="583"/>
      <c r="Q128" s="498" t="s">
        <v>554</v>
      </c>
      <c r="R128" s="601" t="s">
        <v>62</v>
      </c>
      <c r="S128" s="601"/>
      <c r="T128" s="601"/>
      <c r="U128" s="601"/>
      <c r="V128" s="601"/>
      <c r="W128" s="601"/>
      <c r="X128" s="498" t="s">
        <v>554</v>
      </c>
      <c r="Y128" s="601" t="s">
        <v>3041</v>
      </c>
      <c r="Z128" s="601"/>
      <c r="AA128" s="601"/>
      <c r="AB128" s="601"/>
      <c r="AC128" s="601"/>
      <c r="AD128" s="433"/>
      <c r="AE128" s="602"/>
      <c r="AF128" s="602"/>
      <c r="AG128" s="602"/>
      <c r="AH128" s="602"/>
      <c r="AI128" s="602"/>
      <c r="AJ128" s="435"/>
      <c r="AK128" s="435"/>
      <c r="AL128" s="436"/>
    </row>
    <row r="129" spans="1:38" ht="17.100000000000001" customHeight="1" x14ac:dyDescent="0.15">
      <c r="A129" s="434"/>
      <c r="B129" s="588" t="s">
        <v>3401</v>
      </c>
      <c r="C129" s="581"/>
      <c r="D129" s="581"/>
      <c r="E129" s="581"/>
      <c r="F129" s="581"/>
      <c r="G129" s="581"/>
      <c r="H129" s="581"/>
      <c r="I129" s="589"/>
      <c r="J129" s="498" t="s">
        <v>554</v>
      </c>
      <c r="K129" s="581" t="s">
        <v>3402</v>
      </c>
      <c r="L129" s="581"/>
      <c r="M129" s="581"/>
      <c r="N129" s="581"/>
      <c r="O129" s="581"/>
      <c r="P129" s="603"/>
      <c r="Q129" s="498" t="s">
        <v>554</v>
      </c>
      <c r="R129" s="581" t="s">
        <v>3403</v>
      </c>
      <c r="S129" s="581"/>
      <c r="T129" s="581"/>
      <c r="U129" s="581"/>
      <c r="V129" s="581"/>
      <c r="W129" s="446"/>
      <c r="X129" s="508" t="s">
        <v>554</v>
      </c>
      <c r="Y129" s="581" t="s">
        <v>68</v>
      </c>
      <c r="Z129" s="581"/>
      <c r="AA129" s="581"/>
      <c r="AB129" s="581"/>
      <c r="AC129" s="581"/>
      <c r="AD129" s="446"/>
      <c r="AE129" s="508" t="s">
        <v>554</v>
      </c>
      <c r="AF129" s="601" t="s">
        <v>69</v>
      </c>
      <c r="AG129" s="601"/>
      <c r="AH129" s="601"/>
      <c r="AI129" s="601"/>
      <c r="AJ129" s="601"/>
      <c r="AK129" s="431"/>
      <c r="AL129" s="509"/>
    </row>
    <row r="130" spans="1:38" ht="20.100000000000001" customHeight="1" x14ac:dyDescent="0.15">
      <c r="A130" s="434"/>
      <c r="B130" s="588" t="s">
        <v>3404</v>
      </c>
      <c r="C130" s="581"/>
      <c r="D130" s="581"/>
      <c r="E130" s="581"/>
      <c r="F130" s="581"/>
      <c r="G130" s="581"/>
      <c r="H130" s="581"/>
      <c r="I130" s="589"/>
      <c r="J130" s="456"/>
      <c r="K130" s="594" t="str">
        <f>IF(J129="☑",1,"")</f>
        <v/>
      </c>
      <c r="L130" s="594"/>
      <c r="M130" s="594"/>
      <c r="N130" s="446"/>
      <c r="O130" s="446" t="s">
        <v>78</v>
      </c>
      <c r="P130" s="446"/>
      <c r="Q130" s="486"/>
      <c r="R130" s="594"/>
      <c r="S130" s="594"/>
      <c r="T130" s="594"/>
      <c r="U130" s="446"/>
      <c r="V130" s="446" t="s">
        <v>78</v>
      </c>
      <c r="W130" s="446"/>
      <c r="X130" s="486"/>
      <c r="Y130" s="594"/>
      <c r="Z130" s="594"/>
      <c r="AA130" s="594"/>
      <c r="AB130" s="446"/>
      <c r="AC130" s="446" t="s">
        <v>78</v>
      </c>
      <c r="AD130" s="446"/>
      <c r="AE130" s="488"/>
      <c r="AF130" s="594" t="str">
        <f>IF(AE129="☑",1,"")</f>
        <v/>
      </c>
      <c r="AG130" s="594"/>
      <c r="AH130" s="594"/>
      <c r="AI130" s="432"/>
      <c r="AJ130" s="432" t="s">
        <v>78</v>
      </c>
      <c r="AK130" s="432"/>
      <c r="AL130" s="509"/>
    </row>
    <row r="131" spans="1:38" ht="27" customHeight="1" x14ac:dyDescent="0.15">
      <c r="A131" s="434"/>
      <c r="B131" s="619" t="s">
        <v>3405</v>
      </c>
      <c r="C131" s="619"/>
      <c r="D131" s="619"/>
      <c r="E131" s="619"/>
      <c r="F131" s="619"/>
      <c r="G131" s="619"/>
      <c r="H131" s="619"/>
      <c r="I131" s="619"/>
      <c r="J131" s="598" t="str">
        <f>IF(J129="☑",cst_wskakunin_NOBE_MENSEKI_JYUTAKU_SHINSEI,"")</f>
        <v/>
      </c>
      <c r="K131" s="599"/>
      <c r="L131" s="599"/>
      <c r="M131" s="599"/>
      <c r="N131" s="446"/>
      <c r="O131" s="446" t="s">
        <v>79</v>
      </c>
      <c r="P131" s="446"/>
      <c r="Q131" s="600"/>
      <c r="R131" s="599"/>
      <c r="S131" s="599"/>
      <c r="T131" s="599"/>
      <c r="U131" s="446"/>
      <c r="V131" s="446" t="s">
        <v>79</v>
      </c>
      <c r="W131" s="446"/>
      <c r="X131" s="600"/>
      <c r="Y131" s="599"/>
      <c r="Z131" s="599"/>
      <c r="AA131" s="599"/>
      <c r="AB131" s="446"/>
      <c r="AC131" s="446" t="s">
        <v>79</v>
      </c>
      <c r="AD131" s="446"/>
      <c r="AE131" s="600" t="str">
        <f>IF(AE129="☑",cst_wskakunin_NOBE_MENSEKI_JYUTAKU_SHINSEI,"")</f>
        <v/>
      </c>
      <c r="AF131" s="599"/>
      <c r="AG131" s="599"/>
      <c r="AH131" s="599"/>
      <c r="AI131" s="446"/>
      <c r="AJ131" s="446" t="s">
        <v>79</v>
      </c>
      <c r="AK131" s="446"/>
      <c r="AL131" s="509"/>
    </row>
    <row r="132" spans="1:38" ht="3.95" customHeight="1" x14ac:dyDescent="0.15">
      <c r="A132" s="434"/>
      <c r="B132" s="430"/>
      <c r="C132" s="430"/>
      <c r="D132" s="430"/>
      <c r="E132" s="430"/>
      <c r="F132" s="430"/>
      <c r="G132" s="430"/>
      <c r="H132" s="430"/>
      <c r="I132" s="430"/>
      <c r="AJ132" s="435"/>
      <c r="AK132" s="435"/>
      <c r="AL132" s="436"/>
    </row>
    <row r="133" spans="1:38" ht="3.95" customHeight="1" x14ac:dyDescent="0.15">
      <c r="A133" s="434"/>
      <c r="B133" s="430"/>
      <c r="C133" s="430"/>
      <c r="D133" s="430"/>
      <c r="E133" s="430"/>
      <c r="F133" s="430"/>
      <c r="G133" s="430"/>
      <c r="H133" s="430"/>
      <c r="I133" s="430"/>
      <c r="AJ133" s="435"/>
      <c r="AK133" s="435"/>
      <c r="AL133" s="436"/>
    </row>
    <row r="134" spans="1:38" ht="18" customHeight="1" x14ac:dyDescent="0.15">
      <c r="A134" s="434"/>
      <c r="B134" s="588" t="s">
        <v>3372</v>
      </c>
      <c r="C134" s="581"/>
      <c r="D134" s="581"/>
      <c r="E134" s="581"/>
      <c r="F134" s="581"/>
      <c r="G134" s="581"/>
      <c r="H134" s="581"/>
      <c r="I134" s="581"/>
      <c r="J134" s="604"/>
      <c r="K134" s="605"/>
      <c r="L134" s="605"/>
      <c r="M134" s="605"/>
      <c r="N134" s="605"/>
      <c r="O134" s="605"/>
      <c r="P134" s="606"/>
      <c r="Q134" s="504"/>
      <c r="R134" s="504"/>
      <c r="S134" s="504"/>
      <c r="T134" s="504"/>
      <c r="U134" s="504"/>
      <c r="V134" s="504"/>
      <c r="W134" s="504"/>
      <c r="X134" s="504"/>
      <c r="Y134" s="504"/>
      <c r="Z134" s="504"/>
      <c r="AA134" s="504"/>
      <c r="AB134" s="504"/>
      <c r="AC134" s="504"/>
      <c r="AD134" s="504"/>
      <c r="AE134" s="504"/>
      <c r="AF134" s="504"/>
      <c r="AG134" s="504"/>
      <c r="AH134" s="504"/>
      <c r="AI134" s="504"/>
      <c r="AJ134" s="435"/>
      <c r="AK134" s="435"/>
      <c r="AL134" s="436"/>
    </row>
    <row r="135" spans="1:38" ht="30.95" customHeight="1" x14ac:dyDescent="0.15">
      <c r="A135" s="434"/>
      <c r="B135" s="590" t="s">
        <v>3390</v>
      </c>
      <c r="C135" s="591"/>
      <c r="D135" s="591"/>
      <c r="E135" s="591"/>
      <c r="F135" s="591"/>
      <c r="G135" s="591"/>
      <c r="H135" s="591"/>
      <c r="I135" s="607"/>
      <c r="J135" s="505" t="s">
        <v>554</v>
      </c>
      <c r="K135" s="431" t="s">
        <v>3030</v>
      </c>
      <c r="L135" s="431"/>
      <c r="M135" s="431"/>
      <c r="N135" s="431"/>
      <c r="O135" s="432"/>
      <c r="P135" s="426" t="s">
        <v>554</v>
      </c>
      <c r="Q135" s="506" t="s">
        <v>3031</v>
      </c>
      <c r="R135" s="454"/>
      <c r="S135" s="454"/>
      <c r="T135" s="432"/>
      <c r="U135" s="454"/>
      <c r="V135" s="454"/>
      <c r="W135" s="432"/>
      <c r="X135" s="454"/>
      <c r="Y135" s="454"/>
      <c r="Z135" s="433"/>
      <c r="AB135" s="435"/>
      <c r="AC135" s="435"/>
      <c r="AD135" s="435"/>
      <c r="AE135" s="435"/>
      <c r="AF135" s="435"/>
      <c r="AG135" s="435"/>
      <c r="AH135" s="435"/>
      <c r="AI135" s="435"/>
      <c r="AJ135" s="435"/>
      <c r="AK135" s="435"/>
      <c r="AL135" s="436"/>
    </row>
    <row r="136" spans="1:38" ht="17.100000000000001" customHeight="1" x14ac:dyDescent="0.15">
      <c r="A136" s="434"/>
      <c r="B136" s="608" t="s">
        <v>3391</v>
      </c>
      <c r="C136" s="609"/>
      <c r="D136" s="609"/>
      <c r="E136" s="609"/>
      <c r="F136" s="609"/>
      <c r="G136" s="609"/>
      <c r="H136" s="609"/>
      <c r="I136" s="610"/>
      <c r="J136" s="505" t="s">
        <v>554</v>
      </c>
      <c r="K136" s="432" t="s">
        <v>3033</v>
      </c>
      <c r="L136" s="432"/>
      <c r="M136" s="432"/>
      <c r="N136" s="432"/>
      <c r="O136" s="432"/>
      <c r="P136" s="432"/>
      <c r="Q136" s="432"/>
      <c r="R136" s="426" t="s">
        <v>554</v>
      </c>
      <c r="S136" s="601" t="s">
        <v>3034</v>
      </c>
      <c r="T136" s="601"/>
      <c r="U136" s="601"/>
      <c r="V136" s="601"/>
      <c r="W136" s="601"/>
      <c r="X136" s="432"/>
      <c r="Y136" s="426" t="s">
        <v>554</v>
      </c>
      <c r="Z136" s="601" t="s">
        <v>3035</v>
      </c>
      <c r="AA136" s="601"/>
      <c r="AB136" s="601"/>
      <c r="AC136" s="601"/>
      <c r="AD136" s="601"/>
      <c r="AE136" s="601"/>
      <c r="AF136" s="601"/>
      <c r="AG136" s="601"/>
      <c r="AH136" s="601"/>
      <c r="AI136" s="614"/>
      <c r="AJ136" s="435"/>
      <c r="AK136" s="435"/>
      <c r="AL136" s="436"/>
    </row>
    <row r="137" spans="1:38" ht="17.100000000000001" customHeight="1" x14ac:dyDescent="0.15">
      <c r="A137" s="434"/>
      <c r="B137" s="611"/>
      <c r="C137" s="612"/>
      <c r="D137" s="612"/>
      <c r="E137" s="612"/>
      <c r="F137" s="612"/>
      <c r="G137" s="612"/>
      <c r="H137" s="612"/>
      <c r="I137" s="613"/>
      <c r="J137" s="498" t="s">
        <v>554</v>
      </c>
      <c r="K137" s="615" t="s">
        <v>3036</v>
      </c>
      <c r="L137" s="615"/>
      <c r="M137" s="615"/>
      <c r="N137" s="615"/>
      <c r="O137" s="615"/>
      <c r="P137" s="615"/>
      <c r="Q137" s="615"/>
      <c r="R137" s="615"/>
      <c r="S137" s="449"/>
      <c r="T137" s="338" t="s">
        <v>554</v>
      </c>
      <c r="U137" s="615" t="s">
        <v>3037</v>
      </c>
      <c r="V137" s="615"/>
      <c r="W137" s="615"/>
      <c r="X137" s="615"/>
      <c r="Y137" s="449"/>
      <c r="Z137" s="449"/>
      <c r="AA137" s="449"/>
      <c r="AB137" s="449"/>
      <c r="AC137" s="449"/>
      <c r="AD137" s="449"/>
      <c r="AE137" s="449"/>
      <c r="AF137" s="449"/>
      <c r="AG137" s="449"/>
      <c r="AH137" s="449"/>
      <c r="AI137" s="450"/>
      <c r="AJ137" s="435"/>
      <c r="AK137" s="435"/>
      <c r="AL137" s="436"/>
    </row>
    <row r="138" spans="1:38" ht="17.100000000000001" customHeight="1" x14ac:dyDescent="0.15">
      <c r="A138" s="434"/>
      <c r="B138" s="582" t="s">
        <v>3392</v>
      </c>
      <c r="C138" s="583"/>
      <c r="D138" s="583"/>
      <c r="E138" s="583"/>
      <c r="F138" s="583"/>
      <c r="G138" s="583"/>
      <c r="H138" s="583"/>
      <c r="I138" s="584"/>
      <c r="J138" s="498" t="s">
        <v>554</v>
      </c>
      <c r="K138" s="581" t="s">
        <v>3393</v>
      </c>
      <c r="L138" s="581"/>
      <c r="M138" s="581"/>
      <c r="N138" s="581"/>
      <c r="O138" s="581"/>
      <c r="P138" s="507"/>
      <c r="Q138" s="498" t="s">
        <v>554</v>
      </c>
      <c r="R138" s="583" t="s">
        <v>3394</v>
      </c>
      <c r="S138" s="583"/>
      <c r="T138" s="583"/>
      <c r="U138" s="583"/>
      <c r="V138" s="583"/>
      <c r="W138" s="583"/>
      <c r="X138" s="498" t="s">
        <v>554</v>
      </c>
      <c r="Y138" s="581" t="s">
        <v>3395</v>
      </c>
      <c r="Z138" s="581"/>
      <c r="AA138" s="581"/>
      <c r="AB138" s="581"/>
      <c r="AC138" s="581"/>
      <c r="AD138" s="589"/>
      <c r="AE138" s="435"/>
      <c r="AF138" s="435"/>
      <c r="AG138" s="435"/>
      <c r="AH138" s="435"/>
      <c r="AJ138" s="435"/>
      <c r="AK138" s="435"/>
      <c r="AL138" s="436"/>
    </row>
    <row r="139" spans="1:38" ht="17.100000000000001" customHeight="1" x14ac:dyDescent="0.15">
      <c r="A139" s="434"/>
      <c r="B139" s="588" t="s">
        <v>3396</v>
      </c>
      <c r="C139" s="581"/>
      <c r="D139" s="581"/>
      <c r="E139" s="581"/>
      <c r="F139" s="581"/>
      <c r="G139" s="581"/>
      <c r="H139" s="581"/>
      <c r="I139" s="589"/>
      <c r="J139" s="498" t="s">
        <v>554</v>
      </c>
      <c r="K139" s="581" t="s">
        <v>3397</v>
      </c>
      <c r="L139" s="581"/>
      <c r="M139" s="581"/>
      <c r="N139" s="581"/>
      <c r="O139" s="581"/>
      <c r="P139" s="507"/>
      <c r="Q139" s="498" t="s">
        <v>554</v>
      </c>
      <c r="R139" s="581" t="s">
        <v>3398</v>
      </c>
      <c r="S139" s="581"/>
      <c r="T139" s="581"/>
      <c r="U139" s="581"/>
      <c r="V139" s="581"/>
      <c r="W139" s="581"/>
      <c r="X139" s="498" t="s">
        <v>554</v>
      </c>
      <c r="Y139" s="583" t="s">
        <v>3399</v>
      </c>
      <c r="Z139" s="583"/>
      <c r="AA139" s="583"/>
      <c r="AB139" s="583"/>
      <c r="AC139" s="583"/>
      <c r="AD139" s="584"/>
      <c r="AE139" s="435"/>
      <c r="AF139" s="435"/>
      <c r="AG139" s="435"/>
      <c r="AH139" s="435"/>
      <c r="AJ139" s="435"/>
      <c r="AK139" s="435"/>
      <c r="AL139" s="436"/>
    </row>
    <row r="140" spans="1:38" ht="17.100000000000001" customHeight="1" x14ac:dyDescent="0.15">
      <c r="A140" s="434"/>
      <c r="B140" s="588" t="s">
        <v>3400</v>
      </c>
      <c r="C140" s="581"/>
      <c r="D140" s="581"/>
      <c r="E140" s="581"/>
      <c r="F140" s="581"/>
      <c r="G140" s="581"/>
      <c r="H140" s="581"/>
      <c r="I140" s="589"/>
      <c r="J140" s="498" t="s">
        <v>554</v>
      </c>
      <c r="K140" s="583" t="s">
        <v>61</v>
      </c>
      <c r="L140" s="583"/>
      <c r="M140" s="583"/>
      <c r="N140" s="583"/>
      <c r="O140" s="583"/>
      <c r="P140" s="583"/>
      <c r="Q140" s="498" t="s">
        <v>554</v>
      </c>
      <c r="R140" s="601" t="s">
        <v>62</v>
      </c>
      <c r="S140" s="601"/>
      <c r="T140" s="601"/>
      <c r="U140" s="601"/>
      <c r="V140" s="601"/>
      <c r="W140" s="601"/>
      <c r="X140" s="498" t="s">
        <v>554</v>
      </c>
      <c r="Y140" s="601" t="s">
        <v>3041</v>
      </c>
      <c r="Z140" s="601"/>
      <c r="AA140" s="601"/>
      <c r="AB140" s="601"/>
      <c r="AC140" s="601"/>
      <c r="AD140" s="433"/>
      <c r="AE140" s="602"/>
      <c r="AF140" s="602"/>
      <c r="AG140" s="602"/>
      <c r="AH140" s="602"/>
      <c r="AI140" s="602"/>
      <c r="AJ140" s="435"/>
      <c r="AK140" s="435"/>
      <c r="AL140" s="436"/>
    </row>
    <row r="141" spans="1:38" ht="17.100000000000001" customHeight="1" x14ac:dyDescent="0.15">
      <c r="A141" s="434"/>
      <c r="B141" s="588" t="s">
        <v>3401</v>
      </c>
      <c r="C141" s="581"/>
      <c r="D141" s="581"/>
      <c r="E141" s="581"/>
      <c r="F141" s="581"/>
      <c r="G141" s="581"/>
      <c r="H141" s="581"/>
      <c r="I141" s="589"/>
      <c r="J141" s="498" t="s">
        <v>554</v>
      </c>
      <c r="K141" s="581" t="s">
        <v>3402</v>
      </c>
      <c r="L141" s="581"/>
      <c r="M141" s="581"/>
      <c r="N141" s="581"/>
      <c r="O141" s="581"/>
      <c r="P141" s="603"/>
      <c r="Q141" s="498" t="s">
        <v>554</v>
      </c>
      <c r="R141" s="581" t="s">
        <v>3403</v>
      </c>
      <c r="S141" s="581"/>
      <c r="T141" s="581"/>
      <c r="U141" s="581"/>
      <c r="V141" s="581"/>
      <c r="W141" s="446"/>
      <c r="X141" s="508" t="s">
        <v>554</v>
      </c>
      <c r="Y141" s="581" t="s">
        <v>68</v>
      </c>
      <c r="Z141" s="581"/>
      <c r="AA141" s="581"/>
      <c r="AB141" s="581"/>
      <c r="AC141" s="581"/>
      <c r="AD141" s="446"/>
      <c r="AE141" s="508" t="s">
        <v>554</v>
      </c>
      <c r="AF141" s="601" t="s">
        <v>69</v>
      </c>
      <c r="AG141" s="601"/>
      <c r="AH141" s="601"/>
      <c r="AI141" s="601"/>
      <c r="AJ141" s="601"/>
      <c r="AK141" s="431"/>
      <c r="AL141" s="509"/>
    </row>
    <row r="142" spans="1:38" ht="20.100000000000001" customHeight="1" x14ac:dyDescent="0.15">
      <c r="A142" s="434"/>
      <c r="B142" s="588" t="s">
        <v>3404</v>
      </c>
      <c r="C142" s="581"/>
      <c r="D142" s="581"/>
      <c r="E142" s="581"/>
      <c r="F142" s="581"/>
      <c r="G142" s="581"/>
      <c r="H142" s="581"/>
      <c r="I142" s="589"/>
      <c r="J142" s="456"/>
      <c r="K142" s="594"/>
      <c r="L142" s="594"/>
      <c r="M142" s="594"/>
      <c r="N142" s="446"/>
      <c r="O142" s="446" t="s">
        <v>78</v>
      </c>
      <c r="P142" s="446"/>
      <c r="Q142" s="486"/>
      <c r="R142" s="594"/>
      <c r="S142" s="594"/>
      <c r="T142" s="594"/>
      <c r="U142" s="446"/>
      <c r="V142" s="446" t="s">
        <v>78</v>
      </c>
      <c r="W142" s="446"/>
      <c r="X142" s="486"/>
      <c r="Y142" s="594"/>
      <c r="Z142" s="594"/>
      <c r="AA142" s="594"/>
      <c r="AB142" s="446"/>
      <c r="AC142" s="446" t="s">
        <v>78</v>
      </c>
      <c r="AD142" s="446"/>
      <c r="AE142" s="488"/>
      <c r="AF142" s="594"/>
      <c r="AG142" s="594"/>
      <c r="AH142" s="594"/>
      <c r="AI142" s="432"/>
      <c r="AJ142" s="432" t="s">
        <v>78</v>
      </c>
      <c r="AK142" s="432"/>
      <c r="AL142" s="509"/>
    </row>
    <row r="143" spans="1:38" ht="27" customHeight="1" x14ac:dyDescent="0.15">
      <c r="A143" s="434"/>
      <c r="B143" s="616" t="s">
        <v>3405</v>
      </c>
      <c r="C143" s="617"/>
      <c r="D143" s="617"/>
      <c r="E143" s="617"/>
      <c r="F143" s="617"/>
      <c r="G143" s="617"/>
      <c r="H143" s="617"/>
      <c r="I143" s="618"/>
      <c r="J143" s="598"/>
      <c r="K143" s="599"/>
      <c r="L143" s="599"/>
      <c r="M143" s="599"/>
      <c r="N143" s="446"/>
      <c r="O143" s="446" t="s">
        <v>79</v>
      </c>
      <c r="P143" s="446"/>
      <c r="Q143" s="600"/>
      <c r="R143" s="599"/>
      <c r="S143" s="599"/>
      <c r="T143" s="599"/>
      <c r="U143" s="446"/>
      <c r="V143" s="446" t="s">
        <v>79</v>
      </c>
      <c r="W143" s="446"/>
      <c r="X143" s="600"/>
      <c r="Y143" s="599"/>
      <c r="Z143" s="599"/>
      <c r="AA143" s="599"/>
      <c r="AB143" s="446"/>
      <c r="AC143" s="446" t="s">
        <v>79</v>
      </c>
      <c r="AD143" s="446"/>
      <c r="AE143" s="600"/>
      <c r="AF143" s="599"/>
      <c r="AG143" s="599"/>
      <c r="AH143" s="599"/>
      <c r="AI143" s="446"/>
      <c r="AJ143" s="446" t="s">
        <v>79</v>
      </c>
      <c r="AK143" s="446"/>
      <c r="AL143" s="509"/>
    </row>
    <row r="144" spans="1:38" ht="3.95" customHeight="1" x14ac:dyDescent="0.15">
      <c r="A144" s="434"/>
      <c r="B144" s="479"/>
      <c r="C144" s="479"/>
      <c r="D144" s="479"/>
      <c r="E144" s="479"/>
      <c r="F144" s="479"/>
      <c r="G144" s="479"/>
      <c r="H144" s="479"/>
      <c r="I144" s="479"/>
      <c r="AJ144" s="435"/>
      <c r="AK144" s="435"/>
      <c r="AL144" s="436"/>
    </row>
    <row r="145" spans="1:38" ht="3.95" customHeight="1" x14ac:dyDescent="0.15">
      <c r="A145" s="434"/>
      <c r="B145" s="479"/>
      <c r="C145" s="479"/>
      <c r="D145" s="479"/>
      <c r="E145" s="479"/>
      <c r="F145" s="479"/>
      <c r="G145" s="479"/>
      <c r="H145" s="479"/>
      <c r="I145" s="479"/>
      <c r="AJ145" s="435"/>
      <c r="AK145" s="435"/>
      <c r="AL145" s="436"/>
    </row>
    <row r="146" spans="1:38" ht="18" customHeight="1" x14ac:dyDescent="0.15">
      <c r="A146" s="434"/>
      <c r="B146" s="588" t="s">
        <v>3372</v>
      </c>
      <c r="C146" s="581"/>
      <c r="D146" s="581"/>
      <c r="E146" s="581"/>
      <c r="F146" s="581"/>
      <c r="G146" s="581"/>
      <c r="H146" s="581"/>
      <c r="I146" s="581"/>
      <c r="J146" s="604"/>
      <c r="K146" s="605"/>
      <c r="L146" s="605"/>
      <c r="M146" s="605"/>
      <c r="N146" s="605"/>
      <c r="O146" s="605"/>
      <c r="P146" s="606"/>
      <c r="Q146" s="504"/>
      <c r="R146" s="504"/>
      <c r="S146" s="504"/>
      <c r="T146" s="504"/>
      <c r="U146" s="504"/>
      <c r="V146" s="504"/>
      <c r="W146" s="504"/>
      <c r="X146" s="504"/>
      <c r="Y146" s="504"/>
      <c r="Z146" s="504"/>
      <c r="AA146" s="504"/>
      <c r="AB146" s="504"/>
      <c r="AC146" s="504"/>
      <c r="AD146" s="504"/>
      <c r="AE146" s="504"/>
      <c r="AF146" s="504"/>
      <c r="AG146" s="504"/>
      <c r="AH146" s="504"/>
      <c r="AI146" s="504"/>
      <c r="AJ146" s="435"/>
      <c r="AK146" s="435"/>
      <c r="AL146" s="436"/>
    </row>
    <row r="147" spans="1:38" ht="30.95" customHeight="1" x14ac:dyDescent="0.15">
      <c r="A147" s="434"/>
      <c r="B147" s="590" t="s">
        <v>3390</v>
      </c>
      <c r="C147" s="591"/>
      <c r="D147" s="591"/>
      <c r="E147" s="591"/>
      <c r="F147" s="591"/>
      <c r="G147" s="591"/>
      <c r="H147" s="591"/>
      <c r="I147" s="607"/>
      <c r="J147" s="505" t="s">
        <v>554</v>
      </c>
      <c r="K147" s="431" t="s">
        <v>3030</v>
      </c>
      <c r="L147" s="431"/>
      <c r="M147" s="431"/>
      <c r="N147" s="431"/>
      <c r="O147" s="432"/>
      <c r="P147" s="426" t="s">
        <v>554</v>
      </c>
      <c r="Q147" s="506" t="s">
        <v>3031</v>
      </c>
      <c r="R147" s="454"/>
      <c r="S147" s="454"/>
      <c r="T147" s="432"/>
      <c r="U147" s="454"/>
      <c r="V147" s="454"/>
      <c r="W147" s="432"/>
      <c r="X147" s="454"/>
      <c r="Y147" s="454"/>
      <c r="Z147" s="433"/>
      <c r="AB147" s="435"/>
      <c r="AC147" s="435"/>
      <c r="AD147" s="435"/>
      <c r="AE147" s="435"/>
      <c r="AF147" s="435"/>
      <c r="AG147" s="435"/>
      <c r="AH147" s="435"/>
      <c r="AI147" s="435"/>
      <c r="AJ147" s="435"/>
      <c r="AK147" s="435"/>
      <c r="AL147" s="436"/>
    </row>
    <row r="148" spans="1:38" ht="17.100000000000001" customHeight="1" x14ac:dyDescent="0.15">
      <c r="A148" s="434"/>
      <c r="B148" s="608" t="s">
        <v>3391</v>
      </c>
      <c r="C148" s="609"/>
      <c r="D148" s="609"/>
      <c r="E148" s="609"/>
      <c r="F148" s="609"/>
      <c r="G148" s="609"/>
      <c r="H148" s="609"/>
      <c r="I148" s="610"/>
      <c r="J148" s="505" t="s">
        <v>554</v>
      </c>
      <c r="K148" s="432" t="s">
        <v>3033</v>
      </c>
      <c r="L148" s="432"/>
      <c r="M148" s="432"/>
      <c r="N148" s="432"/>
      <c r="O148" s="432"/>
      <c r="P148" s="432"/>
      <c r="Q148" s="432"/>
      <c r="R148" s="426" t="s">
        <v>554</v>
      </c>
      <c r="S148" s="601" t="s">
        <v>3034</v>
      </c>
      <c r="T148" s="601"/>
      <c r="U148" s="601"/>
      <c r="V148" s="601"/>
      <c r="W148" s="601"/>
      <c r="X148" s="432"/>
      <c r="Y148" s="426" t="s">
        <v>554</v>
      </c>
      <c r="Z148" s="601" t="s">
        <v>3035</v>
      </c>
      <c r="AA148" s="601"/>
      <c r="AB148" s="601"/>
      <c r="AC148" s="601"/>
      <c r="AD148" s="601"/>
      <c r="AE148" s="601"/>
      <c r="AF148" s="601"/>
      <c r="AG148" s="601"/>
      <c r="AH148" s="601"/>
      <c r="AI148" s="614"/>
      <c r="AJ148" s="435"/>
      <c r="AK148" s="435"/>
      <c r="AL148" s="436"/>
    </row>
    <row r="149" spans="1:38" ht="17.100000000000001" customHeight="1" x14ac:dyDescent="0.15">
      <c r="A149" s="434"/>
      <c r="B149" s="611"/>
      <c r="C149" s="612"/>
      <c r="D149" s="612"/>
      <c r="E149" s="612"/>
      <c r="F149" s="612"/>
      <c r="G149" s="612"/>
      <c r="H149" s="612"/>
      <c r="I149" s="613"/>
      <c r="J149" s="498" t="s">
        <v>554</v>
      </c>
      <c r="K149" s="615" t="s">
        <v>3036</v>
      </c>
      <c r="L149" s="615"/>
      <c r="M149" s="615"/>
      <c r="N149" s="615"/>
      <c r="O149" s="615"/>
      <c r="P149" s="615"/>
      <c r="Q149" s="615"/>
      <c r="R149" s="615"/>
      <c r="S149" s="449"/>
      <c r="T149" s="338" t="s">
        <v>554</v>
      </c>
      <c r="U149" s="615" t="s">
        <v>3037</v>
      </c>
      <c r="V149" s="615"/>
      <c r="W149" s="615"/>
      <c r="X149" s="615"/>
      <c r="Y149" s="449"/>
      <c r="Z149" s="449"/>
      <c r="AA149" s="449"/>
      <c r="AB149" s="449"/>
      <c r="AC149" s="449"/>
      <c r="AD149" s="449"/>
      <c r="AE149" s="449"/>
      <c r="AF149" s="449"/>
      <c r="AG149" s="449"/>
      <c r="AH149" s="449"/>
      <c r="AI149" s="450"/>
      <c r="AJ149" s="435"/>
      <c r="AK149" s="435"/>
      <c r="AL149" s="436"/>
    </row>
    <row r="150" spans="1:38" ht="17.100000000000001" customHeight="1" x14ac:dyDescent="0.15">
      <c r="A150" s="434"/>
      <c r="B150" s="582" t="s">
        <v>3392</v>
      </c>
      <c r="C150" s="583"/>
      <c r="D150" s="583"/>
      <c r="E150" s="583"/>
      <c r="F150" s="583"/>
      <c r="G150" s="583"/>
      <c r="H150" s="583"/>
      <c r="I150" s="584"/>
      <c r="J150" s="498" t="s">
        <v>554</v>
      </c>
      <c r="K150" s="581" t="s">
        <v>3393</v>
      </c>
      <c r="L150" s="581"/>
      <c r="M150" s="581"/>
      <c r="N150" s="581"/>
      <c r="O150" s="581"/>
      <c r="P150" s="507"/>
      <c r="Q150" s="498" t="s">
        <v>554</v>
      </c>
      <c r="R150" s="583" t="s">
        <v>3394</v>
      </c>
      <c r="S150" s="583"/>
      <c r="T150" s="583"/>
      <c r="U150" s="583"/>
      <c r="V150" s="583"/>
      <c r="W150" s="583"/>
      <c r="X150" s="498" t="s">
        <v>554</v>
      </c>
      <c r="Y150" s="581" t="s">
        <v>3395</v>
      </c>
      <c r="Z150" s="581"/>
      <c r="AA150" s="581"/>
      <c r="AB150" s="581"/>
      <c r="AC150" s="581"/>
      <c r="AD150" s="589"/>
      <c r="AE150" s="435"/>
      <c r="AF150" s="435"/>
      <c r="AG150" s="435"/>
      <c r="AH150" s="435"/>
      <c r="AJ150" s="435"/>
      <c r="AK150" s="435"/>
      <c r="AL150" s="436"/>
    </row>
    <row r="151" spans="1:38" ht="17.100000000000001" customHeight="1" x14ac:dyDescent="0.15">
      <c r="A151" s="434"/>
      <c r="B151" s="588" t="s">
        <v>3396</v>
      </c>
      <c r="C151" s="581"/>
      <c r="D151" s="581"/>
      <c r="E151" s="581"/>
      <c r="F151" s="581"/>
      <c r="G151" s="581"/>
      <c r="H151" s="581"/>
      <c r="I151" s="589"/>
      <c r="J151" s="498" t="s">
        <v>554</v>
      </c>
      <c r="K151" s="581" t="s">
        <v>3397</v>
      </c>
      <c r="L151" s="581"/>
      <c r="M151" s="581"/>
      <c r="N151" s="581"/>
      <c r="O151" s="581"/>
      <c r="P151" s="507"/>
      <c r="Q151" s="498" t="s">
        <v>554</v>
      </c>
      <c r="R151" s="581" t="s">
        <v>3398</v>
      </c>
      <c r="S151" s="581"/>
      <c r="T151" s="581"/>
      <c r="U151" s="581"/>
      <c r="V151" s="581"/>
      <c r="W151" s="581"/>
      <c r="X151" s="498" t="s">
        <v>554</v>
      </c>
      <c r="Y151" s="583" t="s">
        <v>3399</v>
      </c>
      <c r="Z151" s="583"/>
      <c r="AA151" s="583"/>
      <c r="AB151" s="583"/>
      <c r="AC151" s="583"/>
      <c r="AD151" s="584"/>
      <c r="AE151" s="435"/>
      <c r="AF151" s="435"/>
      <c r="AG151" s="435"/>
      <c r="AH151" s="435"/>
      <c r="AJ151" s="435"/>
      <c r="AK151" s="435"/>
      <c r="AL151" s="436"/>
    </row>
    <row r="152" spans="1:38" ht="17.100000000000001" customHeight="1" x14ac:dyDescent="0.15">
      <c r="A152" s="434"/>
      <c r="B152" s="588" t="s">
        <v>3400</v>
      </c>
      <c r="C152" s="581"/>
      <c r="D152" s="581"/>
      <c r="E152" s="581"/>
      <c r="F152" s="581"/>
      <c r="G152" s="581"/>
      <c r="H152" s="581"/>
      <c r="I152" s="589"/>
      <c r="J152" s="498" t="s">
        <v>554</v>
      </c>
      <c r="K152" s="583" t="s">
        <v>61</v>
      </c>
      <c r="L152" s="583"/>
      <c r="M152" s="583"/>
      <c r="N152" s="583"/>
      <c r="O152" s="583"/>
      <c r="P152" s="583"/>
      <c r="Q152" s="498" t="s">
        <v>554</v>
      </c>
      <c r="R152" s="601" t="s">
        <v>62</v>
      </c>
      <c r="S152" s="601"/>
      <c r="T152" s="601"/>
      <c r="U152" s="601"/>
      <c r="V152" s="601"/>
      <c r="W152" s="601"/>
      <c r="X152" s="498" t="s">
        <v>554</v>
      </c>
      <c r="Y152" s="601" t="s">
        <v>3041</v>
      </c>
      <c r="Z152" s="601"/>
      <c r="AA152" s="601"/>
      <c r="AB152" s="601"/>
      <c r="AC152" s="601"/>
      <c r="AD152" s="433"/>
      <c r="AE152" s="602"/>
      <c r="AF152" s="602"/>
      <c r="AG152" s="602"/>
      <c r="AH152" s="602"/>
      <c r="AI152" s="602"/>
      <c r="AJ152" s="435"/>
      <c r="AK152" s="435"/>
      <c r="AL152" s="436"/>
    </row>
    <row r="153" spans="1:38" ht="17.100000000000001" customHeight="1" x14ac:dyDescent="0.15">
      <c r="A153" s="434"/>
      <c r="B153" s="588" t="s">
        <v>3401</v>
      </c>
      <c r="C153" s="581"/>
      <c r="D153" s="581"/>
      <c r="E153" s="581"/>
      <c r="F153" s="581"/>
      <c r="G153" s="581"/>
      <c r="H153" s="581"/>
      <c r="I153" s="589"/>
      <c r="J153" s="498" t="s">
        <v>554</v>
      </c>
      <c r="K153" s="581" t="s">
        <v>3402</v>
      </c>
      <c r="L153" s="581"/>
      <c r="M153" s="581"/>
      <c r="N153" s="581"/>
      <c r="O153" s="581"/>
      <c r="P153" s="603"/>
      <c r="Q153" s="498" t="s">
        <v>554</v>
      </c>
      <c r="R153" s="581" t="s">
        <v>3403</v>
      </c>
      <c r="S153" s="581"/>
      <c r="T153" s="581"/>
      <c r="U153" s="581"/>
      <c r="V153" s="581"/>
      <c r="W153" s="446"/>
      <c r="X153" s="508" t="s">
        <v>554</v>
      </c>
      <c r="Y153" s="581" t="s">
        <v>68</v>
      </c>
      <c r="Z153" s="581"/>
      <c r="AA153" s="581"/>
      <c r="AB153" s="581"/>
      <c r="AC153" s="581"/>
      <c r="AD153" s="446"/>
      <c r="AE153" s="508" t="s">
        <v>554</v>
      </c>
      <c r="AF153" s="601" t="s">
        <v>69</v>
      </c>
      <c r="AG153" s="601"/>
      <c r="AH153" s="601"/>
      <c r="AI153" s="601"/>
      <c r="AJ153" s="601"/>
      <c r="AK153" s="431"/>
      <c r="AL153" s="509"/>
    </row>
    <row r="154" spans="1:38" ht="20.100000000000001" customHeight="1" x14ac:dyDescent="0.15">
      <c r="A154" s="434"/>
      <c r="B154" s="588" t="s">
        <v>3404</v>
      </c>
      <c r="C154" s="581"/>
      <c r="D154" s="581"/>
      <c r="E154" s="581"/>
      <c r="F154" s="581"/>
      <c r="G154" s="581"/>
      <c r="H154" s="581"/>
      <c r="I154" s="589"/>
      <c r="J154" s="456"/>
      <c r="K154" s="594"/>
      <c r="L154" s="594"/>
      <c r="M154" s="594"/>
      <c r="N154" s="446"/>
      <c r="O154" s="446" t="s">
        <v>78</v>
      </c>
      <c r="P154" s="446"/>
      <c r="Q154" s="486"/>
      <c r="R154" s="594"/>
      <c r="S154" s="594"/>
      <c r="T154" s="594"/>
      <c r="U154" s="446"/>
      <c r="V154" s="446" t="s">
        <v>78</v>
      </c>
      <c r="W154" s="446"/>
      <c r="X154" s="486"/>
      <c r="Y154" s="594"/>
      <c r="Z154" s="594"/>
      <c r="AA154" s="594"/>
      <c r="AB154" s="446"/>
      <c r="AC154" s="446" t="s">
        <v>78</v>
      </c>
      <c r="AD154" s="446"/>
      <c r="AE154" s="488"/>
      <c r="AF154" s="594"/>
      <c r="AG154" s="594"/>
      <c r="AH154" s="594"/>
      <c r="AI154" s="432"/>
      <c r="AJ154" s="432" t="s">
        <v>78</v>
      </c>
      <c r="AK154" s="432"/>
      <c r="AL154" s="509"/>
    </row>
    <row r="155" spans="1:38" ht="27" customHeight="1" x14ac:dyDescent="0.15">
      <c r="A155" s="434"/>
      <c r="B155" s="595" t="s">
        <v>3405</v>
      </c>
      <c r="C155" s="596"/>
      <c r="D155" s="596"/>
      <c r="E155" s="596"/>
      <c r="F155" s="596"/>
      <c r="G155" s="596"/>
      <c r="H155" s="596"/>
      <c r="I155" s="597"/>
      <c r="J155" s="598"/>
      <c r="K155" s="599"/>
      <c r="L155" s="599"/>
      <c r="M155" s="599"/>
      <c r="N155" s="446"/>
      <c r="O155" s="446" t="s">
        <v>79</v>
      </c>
      <c r="P155" s="446"/>
      <c r="Q155" s="600"/>
      <c r="R155" s="599"/>
      <c r="S155" s="599"/>
      <c r="T155" s="599"/>
      <c r="U155" s="446"/>
      <c r="V155" s="446" t="s">
        <v>79</v>
      </c>
      <c r="W155" s="446"/>
      <c r="X155" s="600"/>
      <c r="Y155" s="599"/>
      <c r="Z155" s="599"/>
      <c r="AA155" s="599"/>
      <c r="AB155" s="446"/>
      <c r="AC155" s="446" t="s">
        <v>79</v>
      </c>
      <c r="AD155" s="446"/>
      <c r="AE155" s="600"/>
      <c r="AF155" s="599"/>
      <c r="AG155" s="599"/>
      <c r="AH155" s="599"/>
      <c r="AI155" s="446"/>
      <c r="AJ155" s="446" t="s">
        <v>79</v>
      </c>
      <c r="AK155" s="446"/>
      <c r="AL155" s="509"/>
    </row>
    <row r="156" spans="1:38" ht="3.95" customHeight="1" x14ac:dyDescent="0.15">
      <c r="A156" s="448"/>
      <c r="B156" s="467"/>
      <c r="C156" s="467"/>
      <c r="D156" s="467"/>
      <c r="E156" s="467"/>
      <c r="F156" s="467"/>
      <c r="G156" s="467"/>
      <c r="H156" s="467"/>
      <c r="I156" s="467"/>
      <c r="J156" s="463"/>
      <c r="K156" s="463"/>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3"/>
      <c r="AI156" s="463"/>
      <c r="AJ156" s="449"/>
      <c r="AK156" s="449"/>
      <c r="AL156" s="450"/>
    </row>
    <row r="157" spans="1:38" ht="3.95" customHeight="1" x14ac:dyDescent="0.15">
      <c r="A157" s="446"/>
      <c r="B157" s="478"/>
      <c r="C157" s="478"/>
      <c r="D157" s="478"/>
      <c r="E157" s="478"/>
      <c r="F157" s="478"/>
      <c r="G157" s="478"/>
      <c r="H157" s="478"/>
      <c r="I157" s="478"/>
      <c r="J157" s="507"/>
      <c r="K157" s="507"/>
      <c r="L157" s="507"/>
      <c r="M157" s="507"/>
      <c r="N157" s="507"/>
      <c r="O157" s="507"/>
      <c r="P157" s="507"/>
      <c r="Q157" s="507"/>
      <c r="R157" s="507"/>
      <c r="S157" s="507"/>
      <c r="T157" s="507"/>
      <c r="U157" s="507"/>
      <c r="V157" s="507"/>
      <c r="W157" s="507"/>
      <c r="X157" s="507"/>
      <c r="Y157" s="507"/>
      <c r="Z157" s="507"/>
      <c r="AA157" s="507"/>
      <c r="AB157" s="507"/>
      <c r="AC157" s="507"/>
      <c r="AD157" s="507"/>
      <c r="AE157" s="507"/>
      <c r="AF157" s="507"/>
      <c r="AG157" s="507"/>
      <c r="AH157" s="507"/>
      <c r="AI157" s="507"/>
      <c r="AJ157" s="446"/>
      <c r="AK157" s="446"/>
      <c r="AL157" s="446"/>
    </row>
    <row r="158" spans="1:38" ht="17.45" customHeight="1" x14ac:dyDescent="0.15">
      <c r="A158" s="590" t="s">
        <v>3406</v>
      </c>
      <c r="B158" s="591"/>
      <c r="C158" s="591"/>
      <c r="D158" s="591"/>
      <c r="E158" s="591"/>
      <c r="F158" s="591"/>
      <c r="G158" s="591"/>
      <c r="H158" s="591"/>
      <c r="I158" s="591"/>
      <c r="J158" s="591"/>
      <c r="K158" s="591"/>
      <c r="L158" s="591"/>
      <c r="M158" s="591"/>
      <c r="N158" s="459"/>
      <c r="O158" s="459"/>
      <c r="P158" s="459"/>
      <c r="Q158" s="459"/>
      <c r="R158" s="459"/>
      <c r="S158" s="459"/>
      <c r="T158" s="459"/>
      <c r="U158" s="459"/>
      <c r="V158" s="459"/>
      <c r="W158" s="459"/>
      <c r="X158" s="459"/>
      <c r="Y158" s="459"/>
      <c r="Z158" s="459"/>
      <c r="AA158" s="459"/>
      <c r="AB158" s="459"/>
      <c r="AC158" s="459"/>
      <c r="AD158" s="459"/>
      <c r="AE158" s="459"/>
      <c r="AF158" s="459"/>
      <c r="AG158" s="459"/>
      <c r="AH158" s="459"/>
      <c r="AI158" s="459"/>
      <c r="AJ158" s="432"/>
      <c r="AK158" s="432"/>
      <c r="AL158" s="433"/>
    </row>
    <row r="159" spans="1:38" ht="20.100000000000001" customHeight="1" x14ac:dyDescent="0.15">
      <c r="A159" s="434" t="s">
        <v>3407</v>
      </c>
      <c r="B159" s="588" t="s">
        <v>3408</v>
      </c>
      <c r="C159" s="581"/>
      <c r="D159" s="581"/>
      <c r="E159" s="581"/>
      <c r="F159" s="581"/>
      <c r="G159" s="581"/>
      <c r="H159" s="581"/>
      <c r="I159" s="581"/>
      <c r="J159" s="581"/>
      <c r="K159" s="589"/>
      <c r="L159" s="592"/>
      <c r="M159" s="593"/>
      <c r="N159" s="593"/>
      <c r="O159" s="593"/>
      <c r="P159" s="593"/>
      <c r="Q159" s="593"/>
      <c r="R159" s="593"/>
      <c r="S159" s="593"/>
      <c r="T159" s="448" t="s">
        <v>3370</v>
      </c>
      <c r="U159" s="449"/>
      <c r="V159" s="449"/>
      <c r="W159" s="449"/>
      <c r="X159" s="449"/>
      <c r="Y159" s="449"/>
      <c r="Z159" s="449"/>
      <c r="AA159" s="449"/>
      <c r="AB159" s="449"/>
      <c r="AC159" s="435"/>
      <c r="AD159" s="435"/>
      <c r="AE159" s="435"/>
      <c r="AF159" s="435"/>
      <c r="AG159" s="435"/>
      <c r="AH159" s="435"/>
      <c r="AI159" s="435"/>
      <c r="AJ159" s="435"/>
      <c r="AK159" s="435"/>
      <c r="AL159" s="436"/>
    </row>
    <row r="160" spans="1:38" ht="17.100000000000001" customHeight="1" x14ac:dyDescent="0.15">
      <c r="A160" s="434" t="s">
        <v>3409</v>
      </c>
      <c r="B160" s="588" t="s">
        <v>3410</v>
      </c>
      <c r="C160" s="581"/>
      <c r="D160" s="581"/>
      <c r="E160" s="581"/>
      <c r="F160" s="581"/>
      <c r="G160" s="581"/>
      <c r="H160" s="581"/>
      <c r="I160" s="581"/>
      <c r="J160" s="581"/>
      <c r="K160" s="589"/>
      <c r="L160" s="498" t="s">
        <v>554</v>
      </c>
      <c r="M160" s="446" t="s">
        <v>3411</v>
      </c>
      <c r="N160" s="446"/>
      <c r="O160" s="446"/>
      <c r="P160" s="446"/>
      <c r="Q160" s="446"/>
      <c r="R160" s="446"/>
      <c r="S160" s="446"/>
      <c r="T160" s="446"/>
      <c r="U160" s="446"/>
      <c r="V160" s="446"/>
      <c r="W160" s="446"/>
      <c r="X160" s="510" t="s">
        <v>554</v>
      </c>
      <c r="Y160" s="438" t="s">
        <v>3031</v>
      </c>
      <c r="Z160" s="438"/>
      <c r="AA160" s="438"/>
      <c r="AB160" s="441"/>
      <c r="AC160" s="435"/>
      <c r="AD160" s="435"/>
      <c r="AE160" s="435"/>
      <c r="AF160" s="435"/>
      <c r="AG160" s="435"/>
      <c r="AH160" s="435"/>
      <c r="AI160" s="435"/>
      <c r="AJ160" s="435"/>
      <c r="AK160" s="435"/>
      <c r="AL160" s="436"/>
    </row>
    <row r="161" spans="1:38" ht="17.100000000000001" customHeight="1" x14ac:dyDescent="0.15">
      <c r="A161" s="434" t="s">
        <v>3412</v>
      </c>
      <c r="B161" s="588" t="s">
        <v>3413</v>
      </c>
      <c r="C161" s="581"/>
      <c r="D161" s="581"/>
      <c r="E161" s="581"/>
      <c r="F161" s="581"/>
      <c r="G161" s="581"/>
      <c r="H161" s="581"/>
      <c r="I161" s="581"/>
      <c r="J161" s="581"/>
      <c r="K161" s="589"/>
      <c r="L161" s="498" t="s">
        <v>554</v>
      </c>
      <c r="M161" s="438" t="s">
        <v>3414</v>
      </c>
      <c r="N161" s="438"/>
      <c r="O161" s="438"/>
      <c r="P161" s="438"/>
      <c r="Q161" s="446"/>
      <c r="R161" s="446"/>
      <c r="S161" s="446"/>
      <c r="T161" s="446"/>
      <c r="U161" s="446"/>
      <c r="V161" s="446"/>
      <c r="W161" s="446"/>
      <c r="X161" s="339" t="s">
        <v>554</v>
      </c>
      <c r="Y161" s="438" t="s">
        <v>3031</v>
      </c>
      <c r="Z161" s="438"/>
      <c r="AA161" s="438"/>
      <c r="AB161" s="441"/>
      <c r="AC161" s="435"/>
      <c r="AD161" s="435"/>
      <c r="AE161" s="435"/>
      <c r="AF161" s="435"/>
      <c r="AG161" s="435"/>
      <c r="AH161" s="435"/>
      <c r="AI161" s="435"/>
      <c r="AJ161" s="435"/>
      <c r="AK161" s="435"/>
      <c r="AL161" s="436"/>
    </row>
    <row r="162" spans="1:38" ht="20.100000000000001" customHeight="1" x14ac:dyDescent="0.15">
      <c r="A162" s="434" t="s">
        <v>3415</v>
      </c>
      <c r="B162" s="588" t="s">
        <v>3416</v>
      </c>
      <c r="C162" s="581"/>
      <c r="D162" s="581"/>
      <c r="E162" s="581"/>
      <c r="F162" s="581"/>
      <c r="G162" s="581"/>
      <c r="H162" s="581"/>
      <c r="I162" s="581"/>
      <c r="J162" s="581"/>
      <c r="K162" s="589"/>
      <c r="L162" s="585"/>
      <c r="M162" s="586"/>
      <c r="N162" s="586"/>
      <c r="O162" s="586"/>
      <c r="P162" s="586"/>
      <c r="Q162" s="587" t="s">
        <v>3417</v>
      </c>
      <c r="R162" s="587"/>
      <c r="S162" s="511"/>
      <c r="Z162" s="512"/>
      <c r="AA162" s="512"/>
      <c r="AB162" s="512"/>
      <c r="AC162" s="512"/>
      <c r="AD162" s="512"/>
      <c r="AE162" s="512"/>
      <c r="AF162" s="512"/>
      <c r="AG162" s="512"/>
      <c r="AH162" s="512"/>
      <c r="AI162" s="512"/>
      <c r="AJ162" s="435"/>
      <c r="AK162" s="435"/>
      <c r="AL162" s="436"/>
    </row>
    <row r="163" spans="1:38" ht="20.45" customHeight="1" x14ac:dyDescent="0.15">
      <c r="A163" s="434" t="s">
        <v>3418</v>
      </c>
      <c r="B163" s="588" t="s">
        <v>3419</v>
      </c>
      <c r="C163" s="581"/>
      <c r="D163" s="581"/>
      <c r="E163" s="581"/>
      <c r="F163" s="581"/>
      <c r="G163" s="581"/>
      <c r="H163" s="581"/>
      <c r="I163" s="581"/>
      <c r="J163" s="581"/>
      <c r="K163" s="589"/>
      <c r="L163" s="585"/>
      <c r="M163" s="586"/>
      <c r="N163" s="586"/>
      <c r="O163" s="586"/>
      <c r="P163" s="586"/>
      <c r="Q163" s="587" t="s">
        <v>78</v>
      </c>
      <c r="R163" s="587"/>
      <c r="S163" s="511"/>
      <c r="Z163" s="435"/>
      <c r="AA163" s="435"/>
      <c r="AB163" s="435"/>
      <c r="AC163" s="435"/>
      <c r="AD163" s="435"/>
      <c r="AE163" s="435"/>
      <c r="AF163" s="435"/>
      <c r="AG163" s="435"/>
      <c r="AH163" s="435"/>
      <c r="AI163" s="435"/>
      <c r="AJ163" s="435"/>
      <c r="AK163" s="435"/>
      <c r="AL163" s="436"/>
    </row>
    <row r="164" spans="1:38" ht="17.100000000000001" customHeight="1" x14ac:dyDescent="0.15">
      <c r="A164" s="434" t="s">
        <v>3420</v>
      </c>
      <c r="B164" s="588" t="s">
        <v>3421</v>
      </c>
      <c r="C164" s="581"/>
      <c r="D164" s="581"/>
      <c r="E164" s="581"/>
      <c r="F164" s="581"/>
      <c r="G164" s="581"/>
      <c r="H164" s="581"/>
      <c r="I164" s="581"/>
      <c r="J164" s="581"/>
      <c r="K164" s="589"/>
      <c r="L164" s="498" t="s">
        <v>554</v>
      </c>
      <c r="M164" s="581" t="s">
        <v>65</v>
      </c>
      <c r="N164" s="581"/>
      <c r="O164" s="581"/>
      <c r="P164" s="581"/>
      <c r="Q164" s="510" t="s">
        <v>554</v>
      </c>
      <c r="R164" s="581" t="s">
        <v>67</v>
      </c>
      <c r="S164" s="581"/>
      <c r="T164" s="581"/>
      <c r="U164" s="581"/>
      <c r="V164" s="510" t="s">
        <v>554</v>
      </c>
      <c r="W164" s="581" t="s">
        <v>68</v>
      </c>
      <c r="X164" s="581"/>
      <c r="Y164" s="581"/>
      <c r="Z164" s="581"/>
      <c r="AA164" s="581"/>
      <c r="AB164" s="447"/>
      <c r="AC164" s="435"/>
      <c r="AD164" s="435"/>
      <c r="AE164" s="435"/>
      <c r="AF164" s="435"/>
      <c r="AG164" s="435"/>
      <c r="AH164" s="435"/>
      <c r="AI164" s="435"/>
      <c r="AJ164" s="435"/>
      <c r="AK164" s="435"/>
      <c r="AL164" s="436"/>
    </row>
    <row r="165" spans="1:38" ht="20.100000000000001" customHeight="1" x14ac:dyDescent="0.15">
      <c r="A165" s="513"/>
      <c r="B165" s="582" t="s">
        <v>3422</v>
      </c>
      <c r="C165" s="583"/>
      <c r="D165" s="583"/>
      <c r="E165" s="583"/>
      <c r="F165" s="583"/>
      <c r="G165" s="583"/>
      <c r="H165" s="583"/>
      <c r="I165" s="583"/>
      <c r="J165" s="583"/>
      <c r="K165" s="584"/>
      <c r="L165" s="585"/>
      <c r="M165" s="586"/>
      <c r="N165" s="586"/>
      <c r="O165" s="586"/>
      <c r="P165" s="586"/>
      <c r="Q165" s="587" t="s">
        <v>79</v>
      </c>
      <c r="R165" s="587"/>
      <c r="S165" s="511"/>
      <c r="Z165" s="435"/>
      <c r="AA165" s="435"/>
      <c r="AB165" s="435"/>
      <c r="AC165" s="435"/>
      <c r="AD165" s="435"/>
      <c r="AE165" s="435"/>
      <c r="AF165" s="435"/>
      <c r="AG165" s="435"/>
      <c r="AH165" s="435"/>
      <c r="AI165" s="435"/>
      <c r="AJ165" s="435"/>
      <c r="AK165" s="435"/>
      <c r="AL165" s="436"/>
    </row>
    <row r="166" spans="1:38" ht="20.100000000000001" customHeight="1" x14ac:dyDescent="0.15">
      <c r="A166" s="434" t="s">
        <v>3423</v>
      </c>
      <c r="B166" s="588" t="s">
        <v>3424</v>
      </c>
      <c r="C166" s="581"/>
      <c r="D166" s="581"/>
      <c r="E166" s="581"/>
      <c r="F166" s="581"/>
      <c r="G166" s="581"/>
      <c r="H166" s="581"/>
      <c r="I166" s="581"/>
      <c r="J166" s="581"/>
      <c r="K166" s="589"/>
      <c r="L166" s="585"/>
      <c r="M166" s="586"/>
      <c r="N166" s="586"/>
      <c r="O166" s="586"/>
      <c r="P166" s="586"/>
      <c r="Q166" s="587" t="s">
        <v>3385</v>
      </c>
      <c r="R166" s="587"/>
      <c r="S166" s="511"/>
      <c r="Z166" s="435"/>
      <c r="AA166" s="435"/>
      <c r="AB166" s="435"/>
      <c r="AC166" s="435"/>
      <c r="AD166" s="435"/>
      <c r="AE166" s="435"/>
      <c r="AF166" s="435"/>
      <c r="AG166" s="435"/>
      <c r="AH166" s="435"/>
      <c r="AI166" s="435"/>
      <c r="AJ166" s="435"/>
      <c r="AK166" s="435"/>
      <c r="AL166" s="436"/>
    </row>
    <row r="167" spans="1:38" ht="3.6" customHeight="1" x14ac:dyDescent="0.15">
      <c r="A167" s="461"/>
      <c r="B167" s="439"/>
      <c r="C167" s="439"/>
      <c r="D167" s="439"/>
      <c r="E167" s="439"/>
      <c r="F167" s="439"/>
      <c r="G167" s="439"/>
      <c r="H167" s="439"/>
      <c r="I167" s="439"/>
      <c r="J167" s="439"/>
      <c r="K167" s="439"/>
      <c r="L167" s="514"/>
      <c r="M167" s="514"/>
      <c r="N167" s="514"/>
      <c r="O167" s="514"/>
      <c r="P167" s="514"/>
      <c r="Q167" s="452"/>
      <c r="R167" s="452"/>
      <c r="S167" s="463"/>
      <c r="T167" s="463"/>
      <c r="U167" s="463"/>
      <c r="V167" s="463"/>
      <c r="W167" s="463"/>
      <c r="X167" s="463"/>
      <c r="Y167" s="463"/>
      <c r="Z167" s="449"/>
      <c r="AA167" s="449"/>
      <c r="AB167" s="449"/>
      <c r="AC167" s="449"/>
      <c r="AD167" s="449"/>
      <c r="AE167" s="449"/>
      <c r="AF167" s="449"/>
      <c r="AG167" s="449"/>
      <c r="AH167" s="449"/>
      <c r="AI167" s="449"/>
      <c r="AJ167" s="449"/>
      <c r="AK167" s="449"/>
      <c r="AL167" s="450"/>
    </row>
    <row r="168" spans="1:38" ht="3.95" customHeight="1" x14ac:dyDescent="0.15">
      <c r="A168" s="432"/>
      <c r="B168" s="435"/>
      <c r="C168" s="435"/>
      <c r="D168" s="435"/>
      <c r="E168" s="435"/>
      <c r="F168" s="435"/>
      <c r="G168" s="435"/>
      <c r="H168" s="435"/>
      <c r="I168" s="435"/>
      <c r="J168" s="435"/>
      <c r="K168" s="435"/>
      <c r="L168" s="435"/>
      <c r="M168" s="435"/>
      <c r="N168" s="435"/>
      <c r="O168" s="435"/>
      <c r="P168" s="435"/>
      <c r="Q168" s="435"/>
      <c r="R168" s="435"/>
      <c r="S168" s="435"/>
      <c r="T168" s="435"/>
      <c r="U168" s="435"/>
      <c r="V168" s="435"/>
      <c r="W168" s="435"/>
      <c r="X168" s="435"/>
      <c r="Y168" s="435"/>
      <c r="Z168" s="435"/>
      <c r="AA168" s="435"/>
      <c r="AB168" s="435"/>
      <c r="AC168" s="435"/>
      <c r="AD168" s="435"/>
      <c r="AE168" s="435"/>
      <c r="AF168" s="435"/>
      <c r="AG168" s="435"/>
      <c r="AH168" s="435"/>
      <c r="AI168" s="435"/>
      <c r="AJ168" s="435"/>
      <c r="AK168" s="435"/>
      <c r="AL168" s="432"/>
    </row>
    <row r="169" spans="1:38" ht="15" customHeight="1" x14ac:dyDescent="0.15"/>
    <row r="170" spans="1:38" ht="15" customHeight="1" x14ac:dyDescent="0.15"/>
    <row r="171" spans="1:38" ht="15" customHeight="1" x14ac:dyDescent="0.15"/>
    <row r="172" spans="1:38" ht="15" customHeight="1" x14ac:dyDescent="0.15"/>
    <row r="173" spans="1:38" ht="15" customHeight="1" x14ac:dyDescent="0.15"/>
    <row r="174" spans="1:38" ht="15" customHeight="1" x14ac:dyDescent="0.15"/>
    <row r="175" spans="1:38" ht="15" customHeight="1" x14ac:dyDescent="0.15"/>
    <row r="176" spans="1:38"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sheetData>
  <sheetProtection selectLockedCells="1"/>
  <mergeCells count="343">
    <mergeCell ref="AI10:AI11"/>
    <mergeCell ref="A12:L13"/>
    <mergeCell ref="M12:P13"/>
    <mergeCell ref="D14:H14"/>
    <mergeCell ref="A15:M15"/>
    <mergeCell ref="D16:H16"/>
    <mergeCell ref="I16:AJ16"/>
    <mergeCell ref="A1:M2"/>
    <mergeCell ref="A4:AJ5"/>
    <mergeCell ref="A6:AJ7"/>
    <mergeCell ref="A8:AJ9"/>
    <mergeCell ref="Y10:Z11"/>
    <mergeCell ref="AA10:AB11"/>
    <mergeCell ref="AC10:AC11"/>
    <mergeCell ref="AD10:AE11"/>
    <mergeCell ref="AF10:AF11"/>
    <mergeCell ref="AG10:AH11"/>
    <mergeCell ref="D28:H28"/>
    <mergeCell ref="I28:AJ28"/>
    <mergeCell ref="D29:O29"/>
    <mergeCell ref="P29:AJ29"/>
    <mergeCell ref="D30:H30"/>
    <mergeCell ref="I30:T30"/>
    <mergeCell ref="D17:H17"/>
    <mergeCell ref="I17:T17"/>
    <mergeCell ref="D18:H18"/>
    <mergeCell ref="I18:AJ18"/>
    <mergeCell ref="D19:H19"/>
    <mergeCell ref="I19:Z19"/>
    <mergeCell ref="D25:H25"/>
    <mergeCell ref="I25:Z25"/>
    <mergeCell ref="A21:M21"/>
    <mergeCell ref="D22:H22"/>
    <mergeCell ref="I22:AJ22"/>
    <mergeCell ref="D23:H23"/>
    <mergeCell ref="I23:T23"/>
    <mergeCell ref="D24:H24"/>
    <mergeCell ref="I24:AJ24"/>
    <mergeCell ref="D34:J34"/>
    <mergeCell ref="K34:O34"/>
    <mergeCell ref="Q34:U34"/>
    <mergeCell ref="W34:AB34"/>
    <mergeCell ref="D37:H37"/>
    <mergeCell ref="I37:AJ37"/>
    <mergeCell ref="D31:H31"/>
    <mergeCell ref="I31:AJ31"/>
    <mergeCell ref="D32:H32"/>
    <mergeCell ref="I32:Z32"/>
    <mergeCell ref="D33:J33"/>
    <mergeCell ref="K33:AJ33"/>
    <mergeCell ref="D41:H41"/>
    <mergeCell ref="I41:Z41"/>
    <mergeCell ref="A43:M43"/>
    <mergeCell ref="D44:K44"/>
    <mergeCell ref="L44:N44"/>
    <mergeCell ref="O44:P44"/>
    <mergeCell ref="Q44:AC44"/>
    <mergeCell ref="D38:O38"/>
    <mergeCell ref="P38:AJ38"/>
    <mergeCell ref="D39:H39"/>
    <mergeCell ref="I39:T39"/>
    <mergeCell ref="D40:H40"/>
    <mergeCell ref="I40:AJ40"/>
    <mergeCell ref="D46:K46"/>
    <mergeCell ref="L46:AE46"/>
    <mergeCell ref="A48:M48"/>
    <mergeCell ref="D49:H49"/>
    <mergeCell ref="I49:AJ49"/>
    <mergeCell ref="D50:H50"/>
    <mergeCell ref="I50:AJ50"/>
    <mergeCell ref="AD44:AE44"/>
    <mergeCell ref="D45:K45"/>
    <mergeCell ref="L45:M45"/>
    <mergeCell ref="N45:Q45"/>
    <mergeCell ref="S45:V45"/>
    <mergeCell ref="X45:AA45"/>
    <mergeCell ref="D54:J54"/>
    <mergeCell ref="K54:AJ54"/>
    <mergeCell ref="D55:J55"/>
    <mergeCell ref="K55:O55"/>
    <mergeCell ref="Q55:U55"/>
    <mergeCell ref="W55:AB55"/>
    <mergeCell ref="D51:H51"/>
    <mergeCell ref="I51:M51"/>
    <mergeCell ref="O51:T51"/>
    <mergeCell ref="D52:H52"/>
    <mergeCell ref="I52:AJ52"/>
    <mergeCell ref="D53:H53"/>
    <mergeCell ref="I53:M53"/>
    <mergeCell ref="O53:S53"/>
    <mergeCell ref="U53:Z53"/>
    <mergeCell ref="B67:I67"/>
    <mergeCell ref="K67:L67"/>
    <mergeCell ref="M67:O67"/>
    <mergeCell ref="Q67:S67"/>
    <mergeCell ref="U67:W67"/>
    <mergeCell ref="A70:F70"/>
    <mergeCell ref="A58:M58"/>
    <mergeCell ref="A59:AJ61"/>
    <mergeCell ref="A62:AJ62"/>
    <mergeCell ref="A65:O65"/>
    <mergeCell ref="B66:I66"/>
    <mergeCell ref="K66:L66"/>
    <mergeCell ref="M66:O66"/>
    <mergeCell ref="Q66:S66"/>
    <mergeCell ref="U66:W66"/>
    <mergeCell ref="B79:I81"/>
    <mergeCell ref="A87:I87"/>
    <mergeCell ref="J87:R87"/>
    <mergeCell ref="A89:K89"/>
    <mergeCell ref="B90:I90"/>
    <mergeCell ref="J90:R90"/>
    <mergeCell ref="B71:I72"/>
    <mergeCell ref="B73:I74"/>
    <mergeCell ref="I77:N77"/>
    <mergeCell ref="R77:W77"/>
    <mergeCell ref="B78:I78"/>
    <mergeCell ref="J78:AJ78"/>
    <mergeCell ref="B92:I93"/>
    <mergeCell ref="J92:R92"/>
    <mergeCell ref="S92:AA92"/>
    <mergeCell ref="AB92:AJ92"/>
    <mergeCell ref="K93:R93"/>
    <mergeCell ref="T93:AA93"/>
    <mergeCell ref="AC93:AJ93"/>
    <mergeCell ref="S90:AA90"/>
    <mergeCell ref="AB90:AJ90"/>
    <mergeCell ref="B91:I91"/>
    <mergeCell ref="J91:R91"/>
    <mergeCell ref="S91:AA91"/>
    <mergeCell ref="AB91:AJ91"/>
    <mergeCell ref="B94:I95"/>
    <mergeCell ref="J94:R95"/>
    <mergeCell ref="S94:AA95"/>
    <mergeCell ref="AB94:AJ95"/>
    <mergeCell ref="B96:I96"/>
    <mergeCell ref="K96:O96"/>
    <mergeCell ref="P96:Q96"/>
    <mergeCell ref="T96:X96"/>
    <mergeCell ref="Y96:Z96"/>
    <mergeCell ref="AC96:AG96"/>
    <mergeCell ref="AH96:AI96"/>
    <mergeCell ref="B97:I98"/>
    <mergeCell ref="T97:X97"/>
    <mergeCell ref="K98:O98"/>
    <mergeCell ref="P98:Q98"/>
    <mergeCell ref="T98:X98"/>
    <mergeCell ref="Y98:Z98"/>
    <mergeCell ref="AC98:AG98"/>
    <mergeCell ref="AH98:AI98"/>
    <mergeCell ref="B100:I105"/>
    <mergeCell ref="K100:M100"/>
    <mergeCell ref="N100:R100"/>
    <mergeCell ref="T100:V100"/>
    <mergeCell ref="W100:AA100"/>
    <mergeCell ref="AC100:AE100"/>
    <mergeCell ref="K102:M102"/>
    <mergeCell ref="N102:R102"/>
    <mergeCell ref="T102:V102"/>
    <mergeCell ref="W102:AA102"/>
    <mergeCell ref="AC102:AE102"/>
    <mergeCell ref="AF102:AJ102"/>
    <mergeCell ref="K103:M103"/>
    <mergeCell ref="N103:Q103"/>
    <mergeCell ref="T103:V103"/>
    <mergeCell ref="W103:Z103"/>
    <mergeCell ref="AC103:AE103"/>
    <mergeCell ref="AF103:AI103"/>
    <mergeCell ref="AF100:AJ100"/>
    <mergeCell ref="K101:M101"/>
    <mergeCell ref="N101:Q101"/>
    <mergeCell ref="T101:V101"/>
    <mergeCell ref="W101:Z101"/>
    <mergeCell ref="AC101:AE101"/>
    <mergeCell ref="AF101:AI101"/>
    <mergeCell ref="K105:M105"/>
    <mergeCell ref="N105:Q105"/>
    <mergeCell ref="T105:V105"/>
    <mergeCell ref="W105:Z105"/>
    <mergeCell ref="AC105:AE105"/>
    <mergeCell ref="AF105:AI105"/>
    <mergeCell ref="K104:M104"/>
    <mergeCell ref="N104:R104"/>
    <mergeCell ref="T104:V104"/>
    <mergeCell ref="W104:AA104"/>
    <mergeCell ref="AC104:AE104"/>
    <mergeCell ref="AF104:AJ104"/>
    <mergeCell ref="AH106:AI106"/>
    <mergeCell ref="B109:I110"/>
    <mergeCell ref="K110:O110"/>
    <mergeCell ref="P110:Q110"/>
    <mergeCell ref="T110:X110"/>
    <mergeCell ref="Y110:Z110"/>
    <mergeCell ref="AC110:AG110"/>
    <mergeCell ref="AH110:AI110"/>
    <mergeCell ref="B106:I108"/>
    <mergeCell ref="K106:O106"/>
    <mergeCell ref="P106:Q106"/>
    <mergeCell ref="T106:X106"/>
    <mergeCell ref="Y106:Z106"/>
    <mergeCell ref="AC106:AG106"/>
    <mergeCell ref="A115:O115"/>
    <mergeCell ref="S115:Z115"/>
    <mergeCell ref="A118:AJ118"/>
    <mergeCell ref="B122:I122"/>
    <mergeCell ref="J122:P122"/>
    <mergeCell ref="B123:I123"/>
    <mergeCell ref="B111:I112"/>
    <mergeCell ref="K111:P111"/>
    <mergeCell ref="T111:Y111"/>
    <mergeCell ref="AC111:AH111"/>
    <mergeCell ref="M112:O112"/>
    <mergeCell ref="P112:Q112"/>
    <mergeCell ref="V112:X112"/>
    <mergeCell ref="Y112:Z112"/>
    <mergeCell ref="AE112:AG112"/>
    <mergeCell ref="AH112:AI112"/>
    <mergeCell ref="B124:I125"/>
    <mergeCell ref="S124:W124"/>
    <mergeCell ref="Z124:AI124"/>
    <mergeCell ref="K125:R125"/>
    <mergeCell ref="U125:X125"/>
    <mergeCell ref="B126:I126"/>
    <mergeCell ref="K126:O126"/>
    <mergeCell ref="R126:W126"/>
    <mergeCell ref="Y126:AD126"/>
    <mergeCell ref="AE128:AI128"/>
    <mergeCell ref="B129:I129"/>
    <mergeCell ref="K129:P129"/>
    <mergeCell ref="R129:V129"/>
    <mergeCell ref="Y129:AC129"/>
    <mergeCell ref="AF129:AJ129"/>
    <mergeCell ref="B127:I127"/>
    <mergeCell ref="K127:O127"/>
    <mergeCell ref="R127:W127"/>
    <mergeCell ref="Y127:AD127"/>
    <mergeCell ref="B128:I128"/>
    <mergeCell ref="K128:P128"/>
    <mergeCell ref="R128:W128"/>
    <mergeCell ref="Y128:AC128"/>
    <mergeCell ref="B130:I130"/>
    <mergeCell ref="K130:M130"/>
    <mergeCell ref="R130:T130"/>
    <mergeCell ref="Y130:AA130"/>
    <mergeCell ref="AF130:AH130"/>
    <mergeCell ref="B131:I131"/>
    <mergeCell ref="J131:M131"/>
    <mergeCell ref="Q131:T131"/>
    <mergeCell ref="X131:AA131"/>
    <mergeCell ref="AE131:AH131"/>
    <mergeCell ref="B138:I138"/>
    <mergeCell ref="K138:O138"/>
    <mergeCell ref="R138:W138"/>
    <mergeCell ref="Y138:AD138"/>
    <mergeCell ref="B139:I139"/>
    <mergeCell ref="K139:O139"/>
    <mergeCell ref="R139:W139"/>
    <mergeCell ref="Y139:AD139"/>
    <mergeCell ref="B134:I134"/>
    <mergeCell ref="J134:P134"/>
    <mergeCell ref="B135:I135"/>
    <mergeCell ref="B136:I137"/>
    <mergeCell ref="S136:W136"/>
    <mergeCell ref="Z136:AI136"/>
    <mergeCell ref="K137:R137"/>
    <mergeCell ref="U137:X137"/>
    <mergeCell ref="B140:I140"/>
    <mergeCell ref="K140:P140"/>
    <mergeCell ref="R140:W140"/>
    <mergeCell ref="Y140:AC140"/>
    <mergeCell ref="AE140:AI140"/>
    <mergeCell ref="B141:I141"/>
    <mergeCell ref="K141:P141"/>
    <mergeCell ref="R141:V141"/>
    <mergeCell ref="Y141:AC141"/>
    <mergeCell ref="AF141:AJ141"/>
    <mergeCell ref="B142:I142"/>
    <mergeCell ref="K142:M142"/>
    <mergeCell ref="R142:T142"/>
    <mergeCell ref="Y142:AA142"/>
    <mergeCell ref="AF142:AH142"/>
    <mergeCell ref="B143:I143"/>
    <mergeCell ref="J143:M143"/>
    <mergeCell ref="Q143:T143"/>
    <mergeCell ref="X143:AA143"/>
    <mergeCell ref="AE143:AH143"/>
    <mergeCell ref="B150:I150"/>
    <mergeCell ref="K150:O150"/>
    <mergeCell ref="R150:W150"/>
    <mergeCell ref="Y150:AD150"/>
    <mergeCell ref="B151:I151"/>
    <mergeCell ref="K151:O151"/>
    <mergeCell ref="R151:W151"/>
    <mergeCell ref="Y151:AD151"/>
    <mergeCell ref="B146:I146"/>
    <mergeCell ref="J146:P146"/>
    <mergeCell ref="B147:I147"/>
    <mergeCell ref="B148:I149"/>
    <mergeCell ref="S148:W148"/>
    <mergeCell ref="Z148:AI148"/>
    <mergeCell ref="K149:R149"/>
    <mergeCell ref="U149:X149"/>
    <mergeCell ref="Y154:AA154"/>
    <mergeCell ref="AF154:AH154"/>
    <mergeCell ref="B155:I155"/>
    <mergeCell ref="J155:M155"/>
    <mergeCell ref="Q155:T155"/>
    <mergeCell ref="X155:AA155"/>
    <mergeCell ref="AE155:AH155"/>
    <mergeCell ref="B152:I152"/>
    <mergeCell ref="K152:P152"/>
    <mergeCell ref="R152:W152"/>
    <mergeCell ref="Y152:AC152"/>
    <mergeCell ref="AE152:AI152"/>
    <mergeCell ref="B153:I153"/>
    <mergeCell ref="K153:P153"/>
    <mergeCell ref="R153:V153"/>
    <mergeCell ref="Y153:AC153"/>
    <mergeCell ref="AF153:AJ153"/>
    <mergeCell ref="A158:M158"/>
    <mergeCell ref="B159:K159"/>
    <mergeCell ref="L159:S159"/>
    <mergeCell ref="B160:K160"/>
    <mergeCell ref="B161:K161"/>
    <mergeCell ref="B162:K162"/>
    <mergeCell ref="L162:P162"/>
    <mergeCell ref="Q162:R162"/>
    <mergeCell ref="B154:I154"/>
    <mergeCell ref="K154:M154"/>
    <mergeCell ref="R154:T154"/>
    <mergeCell ref="W164:AA164"/>
    <mergeCell ref="B165:K165"/>
    <mergeCell ref="L165:P165"/>
    <mergeCell ref="Q165:R165"/>
    <mergeCell ref="B166:K166"/>
    <mergeCell ref="L166:P166"/>
    <mergeCell ref="Q166:R166"/>
    <mergeCell ref="B163:K163"/>
    <mergeCell ref="L163:P163"/>
    <mergeCell ref="Q163:R163"/>
    <mergeCell ref="B164:K164"/>
    <mergeCell ref="M164:P164"/>
    <mergeCell ref="R164:U164"/>
  </mergeCells>
  <phoneticPr fontId="32"/>
  <conditionalFormatting sqref="A158:A167">
    <cfRule type="expression" dxfId="19" priority="22">
      <formula>#REF!&lt;&gt;""</formula>
    </cfRule>
  </conditionalFormatting>
  <conditionalFormatting sqref="B92 B96:B97 B159:B166">
    <cfRule type="expression" dxfId="18" priority="23">
      <formula>#REF!&lt;&gt;""</formula>
    </cfRule>
  </conditionalFormatting>
  <conditionalFormatting sqref="B94">
    <cfRule type="expression" dxfId="17" priority="24">
      <formula>#REF!&lt;&gt;""</formula>
    </cfRule>
  </conditionalFormatting>
  <conditionalFormatting sqref="B109">
    <cfRule type="expression" dxfId="16" priority="26">
      <formula>#REF!&lt;&gt;""</formula>
    </cfRule>
  </conditionalFormatting>
  <conditionalFormatting sqref="B111">
    <cfRule type="expression" dxfId="15" priority="27">
      <formula>#REF!&lt;&gt;""</formula>
    </cfRule>
  </conditionalFormatting>
  <conditionalFormatting sqref="B123:B124">
    <cfRule type="expression" dxfId="14" priority="18">
      <formula>#REF!&lt;&gt;""</formula>
    </cfRule>
  </conditionalFormatting>
  <conditionalFormatting sqref="B129:B130">
    <cfRule type="expression" dxfId="13" priority="20">
      <formula>#REF!&lt;&gt;""</formula>
    </cfRule>
  </conditionalFormatting>
  <conditionalFormatting sqref="B135:B136">
    <cfRule type="expression" dxfId="12" priority="10">
      <formula>#REF!&lt;&gt;""</formula>
    </cfRule>
  </conditionalFormatting>
  <conditionalFormatting sqref="B141:B142">
    <cfRule type="expression" dxfId="11" priority="15">
      <formula>#REF!&lt;&gt;""</formula>
    </cfRule>
  </conditionalFormatting>
  <conditionalFormatting sqref="B147:B148">
    <cfRule type="expression" dxfId="10" priority="9">
      <formula>#REF!&lt;&gt;""</formula>
    </cfRule>
  </conditionalFormatting>
  <conditionalFormatting sqref="B153:B154">
    <cfRule type="expression" dxfId="9" priority="12">
      <formula>#REF!&lt;&gt;""</formula>
    </cfRule>
  </conditionalFormatting>
  <conditionalFormatting sqref="B99:I99 B100 B106">
    <cfRule type="expression" dxfId="8" priority="25">
      <formula>#REF!&lt;&gt;""</formula>
    </cfRule>
  </conditionalFormatting>
  <conditionalFormatting sqref="B126:I128">
    <cfRule type="expression" dxfId="7" priority="19">
      <formula>#REF!&lt;&gt;""</formula>
    </cfRule>
  </conditionalFormatting>
  <conditionalFormatting sqref="B131:I133">
    <cfRule type="expression" dxfId="6" priority="17">
      <formula>#REF!&lt;&gt;""</formula>
    </cfRule>
  </conditionalFormatting>
  <conditionalFormatting sqref="B138:I140">
    <cfRule type="expression" dxfId="5" priority="14">
      <formula>#REF!&lt;&gt;""</formula>
    </cfRule>
  </conditionalFormatting>
  <conditionalFormatting sqref="B143:I145">
    <cfRule type="expression" dxfId="4" priority="21">
      <formula>#REF!&lt;&gt;""</formula>
    </cfRule>
  </conditionalFormatting>
  <conditionalFormatting sqref="B150:I152">
    <cfRule type="expression" dxfId="3" priority="11">
      <formula>#REF!&lt;&gt;""</formula>
    </cfRule>
  </conditionalFormatting>
  <conditionalFormatting sqref="B155:I157">
    <cfRule type="expression" dxfId="2" priority="13">
      <formula>#REF!&lt;&gt;""</formula>
    </cfRule>
  </conditionalFormatting>
  <conditionalFormatting sqref="R126:W129 Y126:AD129 Q130:AL131 R138:W141 Y138:AD141 Q142:AJ143 Y150:AD153 BA153:XFD155 Q154:AJ155 AM156:XFD168">
    <cfRule type="expression" priority="3">
      <formula>$T$90&lt;&gt;""</formula>
    </cfRule>
  </conditionalFormatting>
  <conditionalFormatting sqref="R150:W153">
    <cfRule type="expression" priority="1">
      <formula>$T$90&lt;&gt;""</formula>
    </cfRule>
  </conditionalFormatting>
  <conditionalFormatting sqref="AF141:AJ141">
    <cfRule type="expression" priority="4">
      <formula>$T$90&lt;&gt;""</formula>
    </cfRule>
  </conditionalFormatting>
  <conditionalFormatting sqref="AF153:AJ153">
    <cfRule type="expression" priority="2">
      <formula>$T$90&lt;&gt;""</formula>
    </cfRule>
  </conditionalFormatting>
  <conditionalFormatting sqref="AF129:AL129">
    <cfRule type="expression" priority="8">
      <formula>$T$90&lt;&gt;""</formula>
    </cfRule>
  </conditionalFormatting>
  <conditionalFormatting sqref="AK141:AL143">
    <cfRule type="expression" priority="6">
      <formula>$T$90&lt;&gt;""</formula>
    </cfRule>
  </conditionalFormatting>
  <conditionalFormatting sqref="AK153:AL155">
    <cfRule type="expression" priority="5">
      <formula>$T$90&lt;&gt;""</formula>
    </cfRule>
  </conditionalFormatting>
  <conditionalFormatting sqref="AM121:XFD149">
    <cfRule type="expression" priority="7">
      <formula>$T$90&lt;&gt;""</formula>
    </cfRule>
  </conditionalFormatting>
  <conditionalFormatting sqref="AV150:XFD152">
    <cfRule type="expression" priority="16">
      <formula>$T$90&lt;&gt;""</formula>
    </cfRule>
  </conditionalFormatting>
  <dataValidations count="10">
    <dataValidation type="list" operator="greaterThan" allowBlank="1" showInputMessage="1" showErrorMessage="1" sqref="N100:R100 N102:R102 N104:R104 W100:AA100 W102:AA102 W104:AA104 AF100:AJ100 AF102:AJ102 AF104:AJ104" xr:uid="{00000000-0002-0000-0B00-000000000000}">
      <formula1>工事届用用途コード_2410</formula1>
    </dataValidation>
    <dataValidation type="list" allowBlank="1" showInputMessage="1" showErrorMessage="1" sqref="J94:AJ95" xr:uid="{00000000-0002-0000-0B00-000001000000}">
      <formula1>工事届用構造コード_2410</formula1>
    </dataValidation>
    <dataValidation type="list" allowBlank="1" showInputMessage="1" showErrorMessage="1" sqref="J92:AJ92" xr:uid="{00000000-0002-0000-0B00-000002000000}">
      <formula1>工事届用用途コード_2410</formula1>
    </dataValidation>
    <dataValidation type="list" allowBlank="1" showInputMessage="1" showErrorMessage="1" sqref="J87:R87 L159:S159" xr:uid="{00000000-0002-0000-0B00-000003000000}">
      <formula1>工事届用主要用途_2410</formula1>
    </dataValidation>
    <dataValidation type="whole" allowBlank="1" showInputMessage="1" showErrorMessage="1" error="エラー07" sqref="K109:P109 T109:Y109 AC109:AH109" xr:uid="{00000000-0002-0000-0B00-000004000000}">
      <formula1>1</formula1>
      <formula2>100</formula2>
    </dataValidation>
    <dataValidation type="whole" allowBlank="1" showInputMessage="1" showErrorMessage="1" error="エラー77_x000a_" sqref="K111:P111 T111:Y111 AC111:AH111" xr:uid="{00000000-0002-0000-0B00-000005000000}">
      <formula1>0</formula1>
      <formula2>100</formula2>
    </dataValidation>
    <dataValidation type="decimal" operator="greaterThan" allowBlank="1" showInputMessage="1" showErrorMessage="1" sqref="K99:N99 L165:L167 T99:W99 AC99:AF99" xr:uid="{00000000-0002-0000-0B00-000006000000}">
      <formula1>0</formula1>
    </dataValidation>
    <dataValidation type="decimal" operator="greaterThan" allowBlank="1" showInputMessage="1" showErrorMessage="1" error="エラー08" sqref="AA115:AD115" xr:uid="{00000000-0002-0000-0B00-000007000000}">
      <formula1>0</formula1>
    </dataValidation>
    <dataValidation operator="greaterThan" allowBlank="1" showInputMessage="1" showErrorMessage="1" sqref="K100:K105 N101 N103 R101 R103 R105 T100:T105 AA101 AA103 AA105 AC100:AC105 AJ101 AJ103 AJ105" xr:uid="{00000000-0002-0000-0B00-000008000000}"/>
    <dataValidation type="list" allowBlank="1" showInputMessage="1" sqref="J71:J74 J93 J108 J123:J129 J135:J141 J147:J153 L160:L161 L164 P123 P135 P147 Q126:Q129 Q138:Q141 Q150:Q153 Q164 R71:R72 R124 R136 R148 S93 S108 T125 T137 T149 U73:U74 V164 X126:X129 X138:X141 X150:X153 X160:X161 Y124 Y136 Y148 AB71:AB72 AB93 AB108 AE74 AE129 AE141 AE153" xr:uid="{00000000-0002-0000-0B00-000009000000}">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blackAndWhite="1" r:id="rId1"/>
  <rowBreaks count="2" manualBreakCount="2">
    <brk id="61" max="16383" man="1"/>
    <brk id="117"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4"/>
  <sheetViews>
    <sheetView zoomScaleNormal="100" zoomScaleSheetLayoutView="100" workbookViewId="0"/>
  </sheetViews>
  <sheetFormatPr defaultColWidth="9" defaultRowHeight="13.5" x14ac:dyDescent="0.15"/>
  <cols>
    <col min="1" max="9" width="9.75" style="350" customWidth="1"/>
    <col min="10" max="10" width="9" style="350" customWidth="1"/>
    <col min="11" max="16384" width="9" style="350"/>
  </cols>
  <sheetData>
    <row r="1" spans="1:10" ht="13.5" customHeight="1" x14ac:dyDescent="0.15">
      <c r="A1" s="735" t="s">
        <v>3098</v>
      </c>
      <c r="B1" s="736"/>
      <c r="C1" s="736"/>
      <c r="D1" s="736"/>
      <c r="E1" s="736"/>
      <c r="F1" s="736"/>
      <c r="G1" s="736"/>
      <c r="H1" s="736"/>
      <c r="I1" s="736"/>
      <c r="J1" s="737"/>
    </row>
    <row r="2" spans="1:10" ht="13.5" customHeight="1" x14ac:dyDescent="0.15">
      <c r="A2" s="738"/>
      <c r="B2" s="739"/>
      <c r="C2" s="739"/>
      <c r="D2" s="739"/>
      <c r="E2" s="739"/>
      <c r="F2" s="739"/>
      <c r="G2" s="739"/>
      <c r="H2" s="739"/>
      <c r="I2" s="739"/>
      <c r="J2" s="740"/>
    </row>
    <row r="3" spans="1:10" ht="13.5" customHeight="1" x14ac:dyDescent="0.15">
      <c r="A3" s="741"/>
      <c r="B3" s="742"/>
      <c r="C3" s="742"/>
      <c r="D3" s="742"/>
      <c r="E3" s="742"/>
      <c r="F3" s="742"/>
      <c r="G3" s="742"/>
      <c r="H3" s="742"/>
      <c r="I3" s="742"/>
      <c r="J3" s="743"/>
    </row>
    <row r="4" spans="1:10" x14ac:dyDescent="0.15">
      <c r="A4" s="358"/>
      <c r="B4" s="355"/>
      <c r="C4" s="355"/>
      <c r="D4" s="355"/>
      <c r="E4" s="355"/>
      <c r="F4" s="355"/>
      <c r="G4" s="355"/>
      <c r="H4" s="355"/>
      <c r="I4" s="355"/>
      <c r="J4" s="356"/>
    </row>
    <row r="5" spans="1:10" x14ac:dyDescent="0.15">
      <c r="A5" s="359" t="s">
        <v>3099</v>
      </c>
      <c r="J5" s="360"/>
    </row>
    <row r="6" spans="1:10" x14ac:dyDescent="0.15">
      <c r="A6" s="359"/>
      <c r="J6" s="360"/>
    </row>
    <row r="7" spans="1:10" x14ac:dyDescent="0.15">
      <c r="A7" s="359"/>
      <c r="H7" s="754" t="s">
        <v>3109</v>
      </c>
      <c r="I7" s="754"/>
      <c r="J7" s="755"/>
    </row>
    <row r="8" spans="1:10" x14ac:dyDescent="0.15">
      <c r="A8" s="359"/>
      <c r="J8" s="360"/>
    </row>
    <row r="9" spans="1:10" x14ac:dyDescent="0.15">
      <c r="A9" s="359"/>
      <c r="J9" s="360"/>
    </row>
    <row r="10" spans="1:10" x14ac:dyDescent="0.15">
      <c r="A10" s="359"/>
      <c r="J10" s="360"/>
    </row>
    <row r="11" spans="1:10" x14ac:dyDescent="0.15">
      <c r="A11" s="359" t="str">
        <f ca="1">cst_Pre_Corp__TODAY&amp;"　様"</f>
        <v>株式会社　香川県建築住宅センター　様</v>
      </c>
      <c r="J11" s="360"/>
    </row>
    <row r="12" spans="1:10" x14ac:dyDescent="0.15">
      <c r="A12" s="359"/>
      <c r="J12" s="360"/>
    </row>
    <row r="13" spans="1:10" x14ac:dyDescent="0.15">
      <c r="A13" s="359"/>
      <c r="J13" s="360"/>
    </row>
    <row r="14" spans="1:10" ht="15" customHeight="1" x14ac:dyDescent="0.15">
      <c r="A14" s="400" t="s">
        <v>89</v>
      </c>
      <c r="B14" s="401" t="s">
        <v>6</v>
      </c>
      <c r="C14" s="734" t="str">
        <f>cst_wskakunin_owner1__address</f>
        <v>香川県丸亀市三条町1206番地1　キッシングラミーC棟201号</v>
      </c>
      <c r="D14" s="734"/>
      <c r="E14" s="734"/>
      <c r="F14" s="401" t="s">
        <v>1546</v>
      </c>
      <c r="G14" s="401" t="s">
        <v>6</v>
      </c>
      <c r="H14" s="734" t="str">
        <f>cst_wskakunin_owner2__address</f>
        <v>香川県丸亀市三条町1206番地1　キッシングラミーC棟201号</v>
      </c>
      <c r="I14" s="734"/>
      <c r="J14" s="756"/>
    </row>
    <row r="15" spans="1:10" ht="15" customHeight="1" x14ac:dyDescent="0.15">
      <c r="A15" s="400"/>
      <c r="B15" s="401"/>
      <c r="C15" s="734"/>
      <c r="D15" s="734"/>
      <c r="E15" s="734"/>
      <c r="F15" s="401"/>
      <c r="G15" s="401"/>
      <c r="H15" s="734"/>
      <c r="I15" s="734"/>
      <c r="J15" s="756"/>
    </row>
    <row r="16" spans="1:10" ht="15" customHeight="1" x14ac:dyDescent="0.15">
      <c r="A16" s="400"/>
      <c r="B16" s="401" t="s">
        <v>92</v>
      </c>
      <c r="C16" s="734" t="str">
        <f>cst_wskakunin_owner1__space3</f>
        <v>三木　章史</v>
      </c>
      <c r="D16" s="734"/>
      <c r="E16" s="734"/>
      <c r="F16" s="401"/>
      <c r="G16" s="401" t="s">
        <v>92</v>
      </c>
      <c r="H16" s="734" t="str">
        <f>cst_wskakunin_owner2__space3</f>
        <v>三木　恵</v>
      </c>
      <c r="I16" s="734"/>
      <c r="J16" s="756"/>
    </row>
    <row r="17" spans="1:10" x14ac:dyDescent="0.15">
      <c r="A17" s="402"/>
      <c r="B17" s="361"/>
      <c r="C17" s="734"/>
      <c r="D17" s="734"/>
      <c r="E17" s="734"/>
      <c r="F17" s="361"/>
      <c r="G17" s="361"/>
      <c r="H17" s="734"/>
      <c r="I17" s="734"/>
      <c r="J17" s="756"/>
    </row>
    <row r="18" spans="1:10" x14ac:dyDescent="0.15">
      <c r="A18" s="359"/>
      <c r="J18" s="360"/>
    </row>
    <row r="19" spans="1:10" x14ac:dyDescent="0.15">
      <c r="A19" s="359"/>
      <c r="F19" s="749" t="s">
        <v>3100</v>
      </c>
      <c r="G19" s="750"/>
      <c r="H19" s="750"/>
      <c r="J19" s="360"/>
    </row>
    <row r="20" spans="1:10" x14ac:dyDescent="0.15">
      <c r="A20" s="359"/>
      <c r="F20" s="750"/>
      <c r="G20" s="750"/>
      <c r="H20" s="750"/>
      <c r="J20" s="360"/>
    </row>
    <row r="21" spans="1:10" x14ac:dyDescent="0.15">
      <c r="A21" s="359"/>
      <c r="F21" s="750"/>
      <c r="G21" s="750"/>
      <c r="H21" s="750"/>
      <c r="J21" s="360"/>
    </row>
    <row r="22" spans="1:10" x14ac:dyDescent="0.15">
      <c r="A22" s="359"/>
      <c r="J22" s="360"/>
    </row>
    <row r="23" spans="1:10" x14ac:dyDescent="0.15">
      <c r="A23" s="362"/>
      <c r="B23" s="357"/>
      <c r="C23" s="357"/>
      <c r="D23" s="357"/>
      <c r="E23" s="357"/>
      <c r="F23" s="357"/>
      <c r="G23" s="357"/>
      <c r="H23" s="357"/>
      <c r="I23" s="357"/>
      <c r="J23" s="360"/>
    </row>
    <row r="24" spans="1:10" ht="22.5" customHeight="1" x14ac:dyDescent="0.15">
      <c r="A24" s="753" t="s">
        <v>10</v>
      </c>
      <c r="B24" s="753"/>
      <c r="C24" s="781" t="str">
        <f ca="1">cst_ISSUE_NO_select</f>
        <v/>
      </c>
      <c r="D24" s="782"/>
      <c r="E24" s="782"/>
      <c r="F24" s="782"/>
      <c r="G24" s="782"/>
      <c r="H24" s="782"/>
      <c r="I24" s="782"/>
      <c r="J24" s="783"/>
    </row>
    <row r="25" spans="1:10" ht="22.5" customHeight="1" x14ac:dyDescent="0.15">
      <c r="A25" s="780" t="s">
        <v>3101</v>
      </c>
      <c r="B25" s="780"/>
      <c r="C25" s="784" t="str">
        <f ca="1">IF(cst_ISSUE_DATE_select="","　　　　年　　　　月　　　　日",cst_ISSUE_DATE_select)</f>
        <v>　　　　年　　　　月　　　　日</v>
      </c>
      <c r="D25" s="785"/>
      <c r="E25" s="785"/>
      <c r="F25" s="785"/>
      <c r="G25" s="785"/>
      <c r="H25" s="785"/>
      <c r="I25" s="785"/>
      <c r="J25" s="786"/>
    </row>
    <row r="26" spans="1:10" ht="22.5" customHeight="1" x14ac:dyDescent="0.15">
      <c r="A26" s="403"/>
      <c r="B26" s="403"/>
      <c r="C26" s="403"/>
      <c r="D26" s="403"/>
      <c r="E26" s="403"/>
      <c r="F26" s="403"/>
      <c r="G26" s="403"/>
      <c r="H26" s="403"/>
      <c r="I26" s="403"/>
      <c r="J26" s="403"/>
    </row>
    <row r="27" spans="1:10" ht="22.5" customHeight="1" x14ac:dyDescent="0.15">
      <c r="A27" s="751" t="s">
        <v>3105</v>
      </c>
      <c r="B27" s="744" t="s">
        <v>3102</v>
      </c>
      <c r="C27" s="363" t="s">
        <v>96</v>
      </c>
      <c r="D27" s="772"/>
      <c r="E27" s="773"/>
      <c r="F27" s="773"/>
      <c r="G27" s="773"/>
      <c r="H27" s="773"/>
      <c r="I27" s="773"/>
      <c r="J27" s="774"/>
    </row>
    <row r="28" spans="1:10" ht="22.5" customHeight="1" x14ac:dyDescent="0.15">
      <c r="A28" s="751"/>
      <c r="B28" s="744"/>
      <c r="C28" s="364" t="s">
        <v>92</v>
      </c>
      <c r="D28" s="775"/>
      <c r="E28" s="776"/>
      <c r="F28" s="776"/>
      <c r="G28" s="776"/>
      <c r="H28" s="776"/>
      <c r="I28" s="776"/>
      <c r="J28" s="777"/>
    </row>
    <row r="29" spans="1:10" ht="22.5" customHeight="1" x14ac:dyDescent="0.15">
      <c r="A29" s="751"/>
      <c r="B29" s="744"/>
      <c r="C29" s="745" t="s">
        <v>6</v>
      </c>
      <c r="D29" s="355" t="s">
        <v>3110</v>
      </c>
      <c r="E29" s="748"/>
      <c r="F29" s="748"/>
      <c r="G29" s="748"/>
      <c r="H29" s="355"/>
      <c r="I29" s="355"/>
      <c r="J29" s="360"/>
    </row>
    <row r="30" spans="1:10" ht="22.5" customHeight="1" x14ac:dyDescent="0.15">
      <c r="A30" s="751"/>
      <c r="B30" s="744"/>
      <c r="C30" s="746"/>
      <c r="D30" s="769"/>
      <c r="E30" s="770"/>
      <c r="F30" s="770"/>
      <c r="G30" s="770"/>
      <c r="H30" s="770"/>
      <c r="I30" s="770"/>
      <c r="J30" s="771"/>
    </row>
    <row r="31" spans="1:10" ht="22.5" customHeight="1" x14ac:dyDescent="0.15">
      <c r="A31" s="751"/>
      <c r="B31" s="744"/>
      <c r="C31" s="746"/>
      <c r="D31" s="769"/>
      <c r="E31" s="770"/>
      <c r="F31" s="770"/>
      <c r="G31" s="770"/>
      <c r="H31" s="770"/>
      <c r="I31" s="770"/>
      <c r="J31" s="771"/>
    </row>
    <row r="32" spans="1:10" ht="22.5" customHeight="1" x14ac:dyDescent="0.15">
      <c r="A32" s="751"/>
      <c r="B32" s="744"/>
      <c r="C32" s="747"/>
      <c r="D32" s="357" t="s">
        <v>3103</v>
      </c>
      <c r="E32" s="752"/>
      <c r="F32" s="752"/>
      <c r="G32" s="752"/>
      <c r="H32" s="357"/>
      <c r="I32" s="357"/>
      <c r="J32" s="360"/>
    </row>
    <row r="33" spans="1:10" ht="22.5" customHeight="1" x14ac:dyDescent="0.15">
      <c r="A33" s="751"/>
      <c r="B33" s="744" t="s">
        <v>3104</v>
      </c>
      <c r="C33" s="363" t="s">
        <v>96</v>
      </c>
      <c r="D33" s="772"/>
      <c r="E33" s="773"/>
      <c r="F33" s="773"/>
      <c r="G33" s="773"/>
      <c r="H33" s="773"/>
      <c r="I33" s="773"/>
      <c r="J33" s="774"/>
    </row>
    <row r="34" spans="1:10" ht="22.5" customHeight="1" x14ac:dyDescent="0.15">
      <c r="A34" s="751"/>
      <c r="B34" s="744"/>
      <c r="C34" s="364" t="s">
        <v>92</v>
      </c>
      <c r="D34" s="775"/>
      <c r="E34" s="776"/>
      <c r="F34" s="776"/>
      <c r="G34" s="776"/>
      <c r="H34" s="776"/>
      <c r="I34" s="776"/>
      <c r="J34" s="777"/>
    </row>
    <row r="35" spans="1:10" ht="22.5" customHeight="1" x14ac:dyDescent="0.15">
      <c r="A35" s="751"/>
      <c r="B35" s="744"/>
      <c r="C35" s="745" t="s">
        <v>6</v>
      </c>
      <c r="D35" s="355" t="s">
        <v>3110</v>
      </c>
      <c r="E35" s="748"/>
      <c r="F35" s="748"/>
      <c r="G35" s="748"/>
      <c r="H35" s="355"/>
      <c r="I35" s="355"/>
      <c r="J35" s="360"/>
    </row>
    <row r="36" spans="1:10" ht="22.5" customHeight="1" x14ac:dyDescent="0.15">
      <c r="A36" s="751"/>
      <c r="B36" s="744"/>
      <c r="C36" s="746"/>
      <c r="D36" s="769"/>
      <c r="E36" s="770"/>
      <c r="F36" s="770"/>
      <c r="G36" s="770"/>
      <c r="H36" s="770"/>
      <c r="I36" s="770"/>
      <c r="J36" s="771"/>
    </row>
    <row r="37" spans="1:10" ht="22.5" customHeight="1" x14ac:dyDescent="0.15">
      <c r="A37" s="751"/>
      <c r="B37" s="744"/>
      <c r="C37" s="746"/>
      <c r="D37" s="769"/>
      <c r="E37" s="770"/>
      <c r="F37" s="770"/>
      <c r="G37" s="770"/>
      <c r="H37" s="770"/>
      <c r="I37" s="770"/>
      <c r="J37" s="771"/>
    </row>
    <row r="38" spans="1:10" ht="22.5" customHeight="1" x14ac:dyDescent="0.15">
      <c r="A38" s="751"/>
      <c r="B38" s="744"/>
      <c r="C38" s="747"/>
      <c r="D38" s="357" t="s">
        <v>3103</v>
      </c>
      <c r="E38" s="752"/>
      <c r="F38" s="752"/>
      <c r="G38" s="752"/>
      <c r="H38" s="357"/>
      <c r="I38" s="357"/>
      <c r="J38" s="360"/>
    </row>
    <row r="39" spans="1:10" ht="22.5" customHeight="1" x14ac:dyDescent="0.15">
      <c r="A39" s="778" t="s">
        <v>3108</v>
      </c>
      <c r="B39" s="353" t="s">
        <v>3102</v>
      </c>
      <c r="C39" s="766"/>
      <c r="D39" s="767"/>
      <c r="E39" s="767"/>
      <c r="F39" s="767"/>
      <c r="G39" s="767"/>
      <c r="H39" s="767"/>
      <c r="I39" s="767"/>
      <c r="J39" s="768"/>
    </row>
    <row r="40" spans="1:10" ht="22.5" customHeight="1" x14ac:dyDescent="0.15">
      <c r="A40" s="779"/>
      <c r="B40" s="354" t="s">
        <v>3104</v>
      </c>
      <c r="C40" s="766"/>
      <c r="D40" s="767"/>
      <c r="E40" s="767"/>
      <c r="F40" s="767"/>
      <c r="G40" s="767"/>
      <c r="H40" s="767"/>
      <c r="I40" s="767"/>
      <c r="J40" s="768"/>
    </row>
    <row r="41" spans="1:10" ht="22.5" customHeight="1" x14ac:dyDescent="0.15">
      <c r="A41" s="757" t="s">
        <v>3106</v>
      </c>
      <c r="B41" s="758"/>
      <c r="C41" s="758"/>
      <c r="D41" s="758"/>
      <c r="E41" s="758"/>
      <c r="F41" s="758"/>
      <c r="G41" s="758"/>
      <c r="H41" s="758"/>
      <c r="I41" s="758"/>
      <c r="J41" s="759"/>
    </row>
    <row r="42" spans="1:10" ht="22.5" customHeight="1" x14ac:dyDescent="0.15">
      <c r="A42" s="760"/>
      <c r="B42" s="761"/>
      <c r="C42" s="761"/>
      <c r="D42" s="761"/>
      <c r="E42" s="761"/>
      <c r="F42" s="761"/>
      <c r="G42" s="761"/>
      <c r="H42" s="761"/>
      <c r="I42" s="761"/>
      <c r="J42" s="762"/>
    </row>
    <row r="43" spans="1:10" ht="22.5" customHeight="1" x14ac:dyDescent="0.15">
      <c r="A43" s="763"/>
      <c r="B43" s="764"/>
      <c r="C43" s="764"/>
      <c r="D43" s="764"/>
      <c r="E43" s="764"/>
      <c r="F43" s="764"/>
      <c r="G43" s="764"/>
      <c r="H43" s="764"/>
      <c r="I43" s="764"/>
      <c r="J43" s="765"/>
    </row>
    <row r="44" spans="1:10" ht="22.5" customHeight="1" x14ac:dyDescent="0.15">
      <c r="A44" s="350" t="s">
        <v>3107</v>
      </c>
    </row>
    <row r="45" spans="1:10" ht="22.5" customHeight="1" x14ac:dyDescent="0.15"/>
    <row r="46" spans="1:10" ht="22.5" customHeight="1" x14ac:dyDescent="0.15"/>
    <row r="47" spans="1:10" ht="22.5" customHeight="1" x14ac:dyDescent="0.15"/>
    <row r="48" spans="1:10"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sheetData>
  <mergeCells count="30">
    <mergeCell ref="A25:B25"/>
    <mergeCell ref="C16:E17"/>
    <mergeCell ref="D30:J31"/>
    <mergeCell ref="D27:J27"/>
    <mergeCell ref="D28:J28"/>
    <mergeCell ref="C24:J24"/>
    <mergeCell ref="C25:J25"/>
    <mergeCell ref="A41:J43"/>
    <mergeCell ref="C39:J39"/>
    <mergeCell ref="C40:J40"/>
    <mergeCell ref="D36:J37"/>
    <mergeCell ref="D33:J33"/>
    <mergeCell ref="D34:J34"/>
    <mergeCell ref="A39:A40"/>
    <mergeCell ref="C14:E15"/>
    <mergeCell ref="A1:J3"/>
    <mergeCell ref="B33:B38"/>
    <mergeCell ref="C35:C38"/>
    <mergeCell ref="E35:G35"/>
    <mergeCell ref="F19:H21"/>
    <mergeCell ref="A27:A38"/>
    <mergeCell ref="E38:G38"/>
    <mergeCell ref="A24:B24"/>
    <mergeCell ref="E29:G29"/>
    <mergeCell ref="E32:G32"/>
    <mergeCell ref="C29:C32"/>
    <mergeCell ref="B27:B32"/>
    <mergeCell ref="H7:J7"/>
    <mergeCell ref="H14:J15"/>
    <mergeCell ref="H16:J17"/>
  </mergeCells>
  <phoneticPr fontId="32"/>
  <printOptions horizontalCentere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47"/>
  <sheetViews>
    <sheetView zoomScaleNormal="100" zoomScaleSheetLayoutView="100" workbookViewId="0"/>
  </sheetViews>
  <sheetFormatPr defaultColWidth="9" defaultRowHeight="13.5" x14ac:dyDescent="0.15"/>
  <cols>
    <col min="1" max="9" width="10.125" style="367" customWidth="1"/>
    <col min="10" max="10" width="9" style="367" customWidth="1"/>
    <col min="11" max="16384" width="9" style="367"/>
  </cols>
  <sheetData>
    <row r="1" spans="1:10" x14ac:dyDescent="0.15">
      <c r="A1" s="367" t="s">
        <v>3130</v>
      </c>
    </row>
    <row r="2" spans="1:10" ht="13.5" customHeight="1" x14ac:dyDescent="0.15">
      <c r="A2" s="577" t="s">
        <v>3131</v>
      </c>
      <c r="B2" s="577"/>
      <c r="C2" s="577"/>
      <c r="D2" s="577"/>
      <c r="E2" s="577"/>
      <c r="F2" s="577"/>
      <c r="G2" s="577"/>
      <c r="H2" s="577"/>
      <c r="I2" s="577"/>
      <c r="J2" s="577"/>
    </row>
    <row r="3" spans="1:10" ht="13.5" customHeight="1" x14ac:dyDescent="0.15">
      <c r="A3" s="577"/>
      <c r="B3" s="577"/>
      <c r="C3" s="577"/>
      <c r="D3" s="577"/>
      <c r="E3" s="577"/>
      <c r="F3" s="577"/>
      <c r="G3" s="577"/>
      <c r="H3" s="577"/>
      <c r="I3" s="577"/>
      <c r="J3" s="577"/>
    </row>
    <row r="4" spans="1:10" ht="13.5" customHeight="1" x14ac:dyDescent="0.15">
      <c r="A4" s="577"/>
      <c r="B4" s="577"/>
      <c r="C4" s="577"/>
      <c r="D4" s="577"/>
      <c r="E4" s="577"/>
      <c r="F4" s="577"/>
      <c r="G4" s="577"/>
      <c r="H4" s="577"/>
      <c r="I4" s="577"/>
      <c r="J4" s="577"/>
    </row>
    <row r="6" spans="1:10" x14ac:dyDescent="0.15">
      <c r="H6" s="754" t="str">
        <f ca="1">TEXT(TODAY(),"ggg")&amp;"　　年　　月　　日"</f>
        <v>令和　　年　　月　　日</v>
      </c>
      <c r="I6" s="754"/>
      <c r="J6" s="754"/>
    </row>
    <row r="8" spans="1:10" x14ac:dyDescent="0.15">
      <c r="A8" s="367" t="str">
        <f ca="1">cst_Pre_Corp__TODAY&amp;"　様"</f>
        <v>株式会社　香川県建築住宅センター　様</v>
      </c>
    </row>
    <row r="10" spans="1:10" x14ac:dyDescent="0.15">
      <c r="A10" s="380" t="s">
        <v>3132</v>
      </c>
    </row>
    <row r="13" spans="1:10" ht="15" customHeight="1" x14ac:dyDescent="0.15">
      <c r="A13" s="368" t="s">
        <v>89</v>
      </c>
      <c r="B13" s="368" t="s">
        <v>6</v>
      </c>
      <c r="C13" s="796" t="str">
        <f>cst_wskakunin_owner1__address</f>
        <v>香川県丸亀市三条町1206番地1　キッシングラミーC棟201号</v>
      </c>
      <c r="D13" s="796"/>
      <c r="E13" s="796"/>
      <c r="F13" s="368" t="s">
        <v>1546</v>
      </c>
      <c r="G13" s="368" t="s">
        <v>6</v>
      </c>
      <c r="H13" s="796" t="str">
        <f>cst_wskakunin_owner2__address</f>
        <v>香川県丸亀市三条町1206番地1　キッシングラミーC棟201号</v>
      </c>
      <c r="I13" s="796"/>
      <c r="J13" s="796"/>
    </row>
    <row r="14" spans="1:10" ht="15" customHeight="1" x14ac:dyDescent="0.15">
      <c r="A14" s="368"/>
      <c r="B14" s="368"/>
      <c r="C14" s="796"/>
      <c r="D14" s="796"/>
      <c r="E14" s="796"/>
      <c r="F14" s="368"/>
      <c r="G14" s="368"/>
      <c r="H14" s="796"/>
      <c r="I14" s="796"/>
      <c r="J14" s="796"/>
    </row>
    <row r="15" spans="1:10" ht="15" customHeight="1" x14ac:dyDescent="0.15">
      <c r="A15" s="368"/>
      <c r="B15" s="368" t="s">
        <v>92</v>
      </c>
      <c r="C15" s="796" t="str">
        <f>cst_wskakunin_owner1__space3</f>
        <v>三木　章史</v>
      </c>
      <c r="D15" s="796"/>
      <c r="E15" s="796"/>
      <c r="F15" s="368"/>
      <c r="G15" s="368" t="s">
        <v>92</v>
      </c>
      <c r="H15" s="796" t="str">
        <f>cst_wskakunin_owner2__space3</f>
        <v>三木　恵</v>
      </c>
      <c r="I15" s="796"/>
      <c r="J15" s="796"/>
    </row>
    <row r="16" spans="1:10" x14ac:dyDescent="0.15">
      <c r="A16" s="369"/>
      <c r="B16" s="369"/>
      <c r="C16" s="797"/>
      <c r="D16" s="797"/>
      <c r="E16" s="797"/>
      <c r="F16" s="369"/>
      <c r="G16" s="369"/>
      <c r="H16" s="797"/>
      <c r="I16" s="797"/>
      <c r="J16" s="797"/>
    </row>
    <row r="17" spans="1:28" ht="26.25" customHeight="1" x14ac:dyDescent="0.15">
      <c r="A17" s="787" t="s">
        <v>3133</v>
      </c>
      <c r="B17" s="787"/>
      <c r="C17" s="787"/>
      <c r="D17" s="798" t="str">
        <f ca="1">IF(cst_ISSUE_NO_select="","第　　　　　　　　　　　号",cst_ISSUE_NO_select)</f>
        <v>第　　　　　　　　　　　号</v>
      </c>
      <c r="E17" s="798"/>
      <c r="F17" s="798"/>
      <c r="G17" s="798"/>
      <c r="H17" s="798"/>
      <c r="I17" s="798"/>
      <c r="J17" s="798"/>
    </row>
    <row r="18" spans="1:28" ht="26.25" customHeight="1" x14ac:dyDescent="0.15">
      <c r="A18" s="787" t="s">
        <v>3134</v>
      </c>
      <c r="B18" s="787"/>
      <c r="C18" s="787"/>
      <c r="D18" s="799" t="str">
        <f ca="1">IF(cst_ISSUE_DATE_select="",TEXT(TODAY(),"ggg")&amp;"　　　年　　　　月　　　　日",cst_ISSUE_DATE_select)</f>
        <v>令和　　　年　　　　月　　　　日</v>
      </c>
      <c r="E18" s="799"/>
      <c r="F18" s="799"/>
      <c r="G18" s="799"/>
      <c r="H18" s="799"/>
      <c r="I18" s="799"/>
      <c r="J18" s="799"/>
    </row>
    <row r="19" spans="1:28" ht="26.25" customHeight="1" x14ac:dyDescent="0.15">
      <c r="A19" s="787" t="s">
        <v>3135</v>
      </c>
      <c r="B19" s="787"/>
      <c r="C19" s="787"/>
      <c r="D19" s="798" t="str">
        <f>cst_wskakunin_BUILD__address</f>
        <v>香川県丸亀市飯山町下法軍寺字島田737番3</v>
      </c>
      <c r="E19" s="798"/>
      <c r="F19" s="798"/>
      <c r="G19" s="798"/>
      <c r="H19" s="798"/>
      <c r="I19" s="798"/>
      <c r="J19" s="798"/>
    </row>
    <row r="20" spans="1:28" ht="26.25" customHeight="1" x14ac:dyDescent="0.15">
      <c r="A20" s="787" t="s">
        <v>3136</v>
      </c>
      <c r="B20" s="787"/>
      <c r="C20" s="787"/>
      <c r="D20" s="798" t="str">
        <f>cst_wskakunin_YOUTO</f>
        <v>一戸建ての住宅</v>
      </c>
      <c r="E20" s="798"/>
      <c r="F20" s="798"/>
      <c r="G20" s="798"/>
      <c r="H20" s="798"/>
      <c r="I20" s="798"/>
      <c r="J20" s="798"/>
    </row>
    <row r="21" spans="1:28" ht="26.25" customHeight="1" x14ac:dyDescent="0.15">
      <c r="A21" s="787" t="s">
        <v>3137</v>
      </c>
      <c r="B21" s="787"/>
      <c r="C21" s="787"/>
      <c r="D21" s="800" t="str">
        <f ca="1">TEXT(TODAY(),"ggg")&amp;"　　　年　　　　月　　　　日"</f>
        <v>令和　　　年　　　　月　　　　日</v>
      </c>
      <c r="E21" s="800"/>
      <c r="F21" s="800"/>
      <c r="G21" s="800"/>
      <c r="H21" s="800"/>
      <c r="I21" s="800"/>
      <c r="J21" s="800"/>
    </row>
    <row r="22" spans="1:28" ht="22.5" customHeight="1" x14ac:dyDescent="0.15">
      <c r="A22" s="790" t="s">
        <v>3138</v>
      </c>
      <c r="B22" s="790"/>
      <c r="C22" s="790"/>
      <c r="D22" s="370"/>
      <c r="E22" s="371"/>
      <c r="F22" s="371"/>
      <c r="G22" s="371"/>
      <c r="H22" s="370"/>
      <c r="I22" s="370"/>
    </row>
    <row r="23" spans="1:28" ht="22.5" customHeight="1" x14ac:dyDescent="0.15">
      <c r="A23" s="350" t="s">
        <v>3143</v>
      </c>
      <c r="C23" s="374"/>
      <c r="D23" s="351" t="s">
        <v>3139</v>
      </c>
      <c r="E23" s="374"/>
      <c r="F23" s="351" t="s">
        <v>3140</v>
      </c>
      <c r="G23" s="795"/>
      <c r="H23" s="795"/>
      <c r="I23" s="352" t="s">
        <v>439</v>
      </c>
      <c r="K23" s="352"/>
      <c r="L23" s="352"/>
      <c r="M23" s="352"/>
      <c r="N23" s="352"/>
      <c r="AB23" s="352"/>
    </row>
    <row r="24" spans="1:28" ht="22.5" customHeight="1" x14ac:dyDescent="0.15">
      <c r="A24" s="350" t="s">
        <v>3144</v>
      </c>
      <c r="C24" s="792"/>
      <c r="D24" s="792"/>
      <c r="E24" s="792"/>
      <c r="F24" s="792"/>
      <c r="G24" s="792"/>
      <c r="H24" s="792"/>
      <c r="I24" s="792"/>
      <c r="J24" s="792"/>
      <c r="K24" s="352"/>
      <c r="L24" s="352"/>
      <c r="M24" s="352"/>
      <c r="N24" s="352"/>
    </row>
    <row r="25" spans="1:28" ht="22.5" customHeight="1" x14ac:dyDescent="0.15">
      <c r="A25" s="350" t="s">
        <v>3145</v>
      </c>
      <c r="C25" s="374"/>
      <c r="D25" s="352" t="s">
        <v>3141</v>
      </c>
      <c r="E25" s="350"/>
      <c r="F25" s="374"/>
      <c r="G25" s="352" t="s">
        <v>3142</v>
      </c>
      <c r="H25" s="376"/>
      <c r="I25" s="375" t="s">
        <v>439</v>
      </c>
      <c r="J25" s="351"/>
      <c r="K25" s="352"/>
      <c r="L25" s="352"/>
      <c r="M25" s="352"/>
      <c r="N25" s="352"/>
      <c r="S25" s="352"/>
      <c r="T25" s="352"/>
      <c r="Y25" s="372"/>
      <c r="Z25" s="352"/>
      <c r="AA25" s="352"/>
      <c r="AB25" s="352"/>
    </row>
    <row r="26" spans="1:28" ht="22.5" customHeight="1" x14ac:dyDescent="0.15">
      <c r="A26" s="352"/>
      <c r="C26" s="794"/>
      <c r="D26" s="794"/>
      <c r="E26" s="794"/>
      <c r="F26" s="794"/>
      <c r="G26" s="794"/>
      <c r="H26" s="794"/>
      <c r="I26" s="794"/>
      <c r="J26" s="794"/>
      <c r="K26" s="375"/>
      <c r="L26" s="375"/>
      <c r="M26" s="375"/>
      <c r="N26" s="375"/>
      <c r="O26" s="375"/>
      <c r="P26" s="375"/>
      <c r="Q26" s="375"/>
      <c r="R26" s="375"/>
      <c r="S26" s="375"/>
      <c r="T26" s="375"/>
      <c r="U26" s="375"/>
      <c r="V26" s="375"/>
      <c r="W26" s="375"/>
      <c r="X26" s="375"/>
      <c r="Y26" s="375"/>
      <c r="Z26" s="375"/>
      <c r="AA26" s="375"/>
      <c r="AB26" s="375"/>
    </row>
    <row r="27" spans="1:28" ht="22.5" customHeight="1" x14ac:dyDescent="0.15">
      <c r="A27" s="350" t="s">
        <v>3146</v>
      </c>
      <c r="C27" s="792"/>
      <c r="D27" s="792"/>
      <c r="E27" s="792"/>
      <c r="F27" s="350"/>
      <c r="J27" s="352"/>
      <c r="K27" s="352"/>
      <c r="L27" s="352"/>
      <c r="M27" s="350"/>
      <c r="N27" s="352"/>
      <c r="O27" s="352"/>
      <c r="P27" s="352"/>
      <c r="Q27" s="352"/>
      <c r="R27" s="352"/>
      <c r="S27" s="352"/>
      <c r="T27" s="352"/>
      <c r="U27" s="352"/>
      <c r="V27" s="352"/>
      <c r="W27" s="352"/>
      <c r="X27" s="352"/>
      <c r="Y27" s="352"/>
      <c r="Z27" s="352"/>
      <c r="AA27" s="352"/>
      <c r="AB27" s="352"/>
    </row>
    <row r="28" spans="1:28" ht="22.5" customHeight="1" x14ac:dyDescent="0.15">
      <c r="A28" s="352" t="s">
        <v>3147</v>
      </c>
      <c r="C28" s="794"/>
      <c r="D28" s="794"/>
      <c r="E28" s="794"/>
      <c r="F28" s="794"/>
      <c r="G28" s="794"/>
      <c r="H28" s="794"/>
      <c r="I28" s="794"/>
      <c r="J28" s="794"/>
      <c r="K28" s="375"/>
      <c r="L28" s="375"/>
      <c r="M28" s="375"/>
      <c r="N28" s="375"/>
      <c r="O28" s="375"/>
      <c r="P28" s="375"/>
      <c r="Q28" s="375"/>
      <c r="R28" s="375"/>
      <c r="S28" s="375"/>
      <c r="T28" s="375"/>
      <c r="U28" s="375"/>
      <c r="V28" s="375"/>
      <c r="W28" s="375"/>
      <c r="X28" s="375"/>
      <c r="Y28" s="375"/>
      <c r="Z28" s="375"/>
      <c r="AA28" s="375"/>
      <c r="AB28" s="375"/>
    </row>
    <row r="29" spans="1:28" ht="22.5" customHeight="1" x14ac:dyDescent="0.15">
      <c r="A29" s="357" t="s">
        <v>3148</v>
      </c>
      <c r="B29" s="379"/>
      <c r="C29" s="789"/>
      <c r="D29" s="789"/>
      <c r="E29" s="789"/>
      <c r="F29" s="357"/>
      <c r="G29" s="378"/>
      <c r="H29" s="378"/>
      <c r="I29" s="378"/>
      <c r="J29" s="375"/>
      <c r="K29" s="375"/>
      <c r="L29" s="375"/>
      <c r="M29" s="352"/>
      <c r="N29" s="352"/>
      <c r="O29" s="352"/>
      <c r="P29" s="352"/>
      <c r="Q29" s="352"/>
      <c r="R29" s="352"/>
      <c r="S29" s="352"/>
      <c r="T29" s="352"/>
      <c r="U29" s="352"/>
      <c r="V29" s="352"/>
      <c r="W29" s="352"/>
      <c r="X29" s="352"/>
      <c r="Y29" s="352"/>
      <c r="Z29" s="352"/>
      <c r="AA29" s="352"/>
      <c r="AB29" s="352"/>
    </row>
    <row r="30" spans="1:28" ht="22.5" customHeight="1" x14ac:dyDescent="0.15">
      <c r="A30" s="790" t="s">
        <v>3149</v>
      </c>
      <c r="B30" s="790"/>
      <c r="C30" s="790"/>
      <c r="J30" s="370"/>
    </row>
    <row r="31" spans="1:28" ht="22.5" customHeight="1" x14ac:dyDescent="0.15">
      <c r="A31" s="350" t="s">
        <v>3143</v>
      </c>
      <c r="C31" s="388" t="str">
        <f>cst_wskakunin_kanri1_SIKAKU</f>
        <v>一級</v>
      </c>
      <c r="D31" s="351" t="s">
        <v>3139</v>
      </c>
      <c r="E31" s="388" t="str">
        <f>cst_wskakunin_kanri1_TOUROKU_KIKAN</f>
        <v>国土交通大臣</v>
      </c>
      <c r="F31" s="351" t="s">
        <v>3140</v>
      </c>
      <c r="G31" s="793" t="str">
        <f>cst_wskakunin_kanri1_KENTIKUSI_NO</f>
        <v>339014</v>
      </c>
      <c r="H31" s="793"/>
      <c r="I31" s="352" t="s">
        <v>439</v>
      </c>
    </row>
    <row r="32" spans="1:28" ht="22.5" customHeight="1" x14ac:dyDescent="0.15">
      <c r="A32" s="350" t="s">
        <v>3144</v>
      </c>
      <c r="C32" s="791" t="str">
        <f>cst_wskakunin_kanri1_NAME</f>
        <v>白形　真</v>
      </c>
      <c r="D32" s="791"/>
      <c r="E32" s="791"/>
      <c r="F32" s="791"/>
      <c r="G32" s="791"/>
      <c r="H32" s="791"/>
      <c r="I32" s="791"/>
      <c r="J32" s="791"/>
    </row>
    <row r="33" spans="1:10" ht="22.5" customHeight="1" x14ac:dyDescent="0.15">
      <c r="A33" s="350" t="s">
        <v>3145</v>
      </c>
      <c r="C33" s="388" t="str">
        <f>cst_wskakunin_kanri1_JIMU_SIKAKU</f>
        <v>一級</v>
      </c>
      <c r="D33" s="352" t="s">
        <v>3141</v>
      </c>
      <c r="E33" s="350"/>
      <c r="F33" s="388" t="str">
        <f>cst_wskakunin_kanri1_JIMU_TOUROKU_KIKAN</f>
        <v>愛媛県</v>
      </c>
      <c r="G33" s="352" t="s">
        <v>3142</v>
      </c>
      <c r="H33" s="390">
        <f>cst_wskakunin_kanri1_JIMU_NO</f>
        <v>3002</v>
      </c>
      <c r="I33" s="375" t="s">
        <v>439</v>
      </c>
    </row>
    <row r="34" spans="1:10" ht="22.5" customHeight="1" x14ac:dyDescent="0.15">
      <c r="A34" s="352"/>
      <c r="C34" s="791" t="str">
        <f>cst_wskakunin_kanri1_JIMU_NAME</f>
        <v>株式会社コラボハウス一級建築士事務所</v>
      </c>
      <c r="D34" s="791"/>
      <c r="E34" s="791"/>
      <c r="F34" s="791"/>
      <c r="G34" s="791"/>
      <c r="H34" s="791"/>
      <c r="I34" s="791"/>
      <c r="J34" s="791"/>
    </row>
    <row r="35" spans="1:10" ht="22.5" customHeight="1" x14ac:dyDescent="0.15">
      <c r="A35" s="350" t="s">
        <v>3146</v>
      </c>
      <c r="C35" s="791" t="str">
        <f>cst_wskakunin_kanri1_ZIP</f>
        <v>790-0916</v>
      </c>
      <c r="D35" s="791"/>
      <c r="E35" s="791"/>
      <c r="F35" s="350"/>
    </row>
    <row r="36" spans="1:10" ht="22.5" customHeight="1" x14ac:dyDescent="0.15">
      <c r="A36" s="352" t="s">
        <v>3147</v>
      </c>
      <c r="C36" s="791" t="str">
        <f>cst_wskakunin_kanri1__address</f>
        <v>愛媛県松山市束本1丁目6-10　2F</v>
      </c>
      <c r="D36" s="791"/>
      <c r="E36" s="791"/>
      <c r="F36" s="791"/>
      <c r="G36" s="791"/>
      <c r="H36" s="791"/>
      <c r="I36" s="791"/>
      <c r="J36" s="791"/>
    </row>
    <row r="37" spans="1:10" ht="22.5" customHeight="1" x14ac:dyDescent="0.15">
      <c r="A37" s="357" t="s">
        <v>3148</v>
      </c>
      <c r="B37" s="379"/>
      <c r="C37" s="788" t="str">
        <f>cst_wskakunin_kanri1_TEL</f>
        <v>089-947-1313</v>
      </c>
      <c r="D37" s="788"/>
      <c r="E37" s="788"/>
      <c r="F37" s="357"/>
      <c r="G37" s="378"/>
      <c r="H37" s="378"/>
      <c r="I37" s="378"/>
      <c r="J37" s="379"/>
    </row>
    <row r="38" spans="1:10" ht="22.5" customHeight="1" x14ac:dyDescent="0.15"/>
    <row r="39" spans="1:10" ht="22.5" customHeight="1" x14ac:dyDescent="0.15"/>
    <row r="40" spans="1:10" ht="22.5" customHeight="1" x14ac:dyDescent="0.15"/>
    <row r="41" spans="1:10" ht="22.5" customHeight="1" x14ac:dyDescent="0.15"/>
    <row r="42" spans="1:10" ht="22.5" customHeight="1" x14ac:dyDescent="0.15"/>
    <row r="43" spans="1:10" ht="22.5" customHeight="1" x14ac:dyDescent="0.15"/>
    <row r="44" spans="1:10" ht="22.5" customHeight="1" x14ac:dyDescent="0.15"/>
    <row r="45" spans="1:10" ht="22.5" customHeight="1" x14ac:dyDescent="0.15"/>
    <row r="46" spans="1:10" ht="22.5" customHeight="1" x14ac:dyDescent="0.15"/>
    <row r="47" spans="1:10" ht="22.5" customHeight="1" x14ac:dyDescent="0.15"/>
  </sheetData>
  <mergeCells count="30">
    <mergeCell ref="D17:J17"/>
    <mergeCell ref="D18:J18"/>
    <mergeCell ref="D19:J19"/>
    <mergeCell ref="D20:J20"/>
    <mergeCell ref="D21:J21"/>
    <mergeCell ref="C13:E14"/>
    <mergeCell ref="C15:E16"/>
    <mergeCell ref="A2:J4"/>
    <mergeCell ref="H6:J6"/>
    <mergeCell ref="H13:J14"/>
    <mergeCell ref="H15:J16"/>
    <mergeCell ref="A22:C22"/>
    <mergeCell ref="C34:J34"/>
    <mergeCell ref="C32:J32"/>
    <mergeCell ref="C24:J24"/>
    <mergeCell ref="C26:J26"/>
    <mergeCell ref="C28:J28"/>
    <mergeCell ref="G23:H23"/>
    <mergeCell ref="C37:E37"/>
    <mergeCell ref="C29:E29"/>
    <mergeCell ref="A30:C30"/>
    <mergeCell ref="C36:J36"/>
    <mergeCell ref="C27:E27"/>
    <mergeCell ref="G31:H31"/>
    <mergeCell ref="C35:E35"/>
    <mergeCell ref="A17:C17"/>
    <mergeCell ref="A18:C18"/>
    <mergeCell ref="A19:C19"/>
    <mergeCell ref="A20:C20"/>
    <mergeCell ref="A21:C21"/>
  </mergeCells>
  <phoneticPr fontId="32"/>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5"/>
  <sheetViews>
    <sheetView zoomScaleNormal="100" zoomScaleSheetLayoutView="100" workbookViewId="0"/>
  </sheetViews>
  <sheetFormatPr defaultColWidth="9" defaultRowHeight="13.5" x14ac:dyDescent="0.15"/>
  <cols>
    <col min="1" max="9" width="10.125" style="367" customWidth="1"/>
    <col min="10" max="10" width="9" style="367" customWidth="1"/>
    <col min="11" max="16384" width="9" style="367"/>
  </cols>
  <sheetData>
    <row r="1" spans="1:10" x14ac:dyDescent="0.15">
      <c r="A1" s="367" t="s">
        <v>3150</v>
      </c>
    </row>
    <row r="2" spans="1:10" ht="13.5" customHeight="1" x14ac:dyDescent="0.15">
      <c r="A2" s="577" t="s">
        <v>3151</v>
      </c>
      <c r="B2" s="577"/>
      <c r="C2" s="577"/>
      <c r="D2" s="577"/>
      <c r="E2" s="577"/>
      <c r="F2" s="577"/>
      <c r="G2" s="577"/>
      <c r="H2" s="577"/>
      <c r="I2" s="577"/>
      <c r="J2" s="577"/>
    </row>
    <row r="3" spans="1:10" ht="13.5" customHeight="1" x14ac:dyDescent="0.15">
      <c r="A3" s="577"/>
      <c r="B3" s="577"/>
      <c r="C3" s="577"/>
      <c r="D3" s="577"/>
      <c r="E3" s="577"/>
      <c r="F3" s="577"/>
      <c r="G3" s="577"/>
      <c r="H3" s="577"/>
      <c r="I3" s="577"/>
      <c r="J3" s="577"/>
    </row>
    <row r="4" spans="1:10" ht="13.5" customHeight="1" x14ac:dyDescent="0.15">
      <c r="A4" s="577"/>
      <c r="B4" s="577"/>
      <c r="C4" s="577"/>
      <c r="D4" s="577"/>
      <c r="E4" s="577"/>
      <c r="F4" s="577"/>
      <c r="G4" s="577"/>
      <c r="H4" s="577"/>
      <c r="I4" s="577"/>
      <c r="J4" s="577"/>
    </row>
    <row r="6" spans="1:10" x14ac:dyDescent="0.15">
      <c r="H6" s="754" t="str">
        <f ca="1">TEXT(TODAY(),"ggg")&amp;"　　年　　月　　日"</f>
        <v>令和　　年　　月　　日</v>
      </c>
      <c r="I6" s="754"/>
      <c r="J6" s="754"/>
    </row>
    <row r="8" spans="1:10" x14ac:dyDescent="0.15">
      <c r="A8" s="367" t="str">
        <f ca="1">cst_Pre_Corp__TODAY&amp;"　様"</f>
        <v>株式会社　香川県建築住宅センター　様</v>
      </c>
    </row>
    <row r="10" spans="1:10" x14ac:dyDescent="0.15">
      <c r="A10" s="380" t="s">
        <v>3152</v>
      </c>
    </row>
    <row r="13" spans="1:10" ht="15" customHeight="1" x14ac:dyDescent="0.15">
      <c r="A13" s="368" t="s">
        <v>89</v>
      </c>
      <c r="B13" s="368" t="s">
        <v>6</v>
      </c>
      <c r="C13" s="796" t="str">
        <f>cst_wskakunin_owner1__address</f>
        <v>香川県丸亀市三条町1206番地1　キッシングラミーC棟201号</v>
      </c>
      <c r="D13" s="796"/>
      <c r="E13" s="796"/>
      <c r="F13" s="368" t="s">
        <v>1546</v>
      </c>
      <c r="G13" s="368" t="s">
        <v>6</v>
      </c>
      <c r="H13" s="796" t="str">
        <f>cst_wskakunin_owner2__address</f>
        <v>香川県丸亀市三条町1206番地1　キッシングラミーC棟201号</v>
      </c>
      <c r="I13" s="796"/>
      <c r="J13" s="796"/>
    </row>
    <row r="14" spans="1:10" ht="15" customHeight="1" x14ac:dyDescent="0.15">
      <c r="A14" s="368"/>
      <c r="B14" s="368"/>
      <c r="C14" s="796"/>
      <c r="D14" s="796"/>
      <c r="E14" s="796"/>
      <c r="F14" s="368"/>
      <c r="G14" s="368"/>
      <c r="H14" s="796"/>
      <c r="I14" s="796"/>
      <c r="J14" s="796"/>
    </row>
    <row r="15" spans="1:10" ht="15" customHeight="1" x14ac:dyDescent="0.15">
      <c r="A15" s="368"/>
      <c r="B15" s="368" t="s">
        <v>92</v>
      </c>
      <c r="C15" s="796" t="str">
        <f>cst_wskakunin_owner1__space3</f>
        <v>三木　章史</v>
      </c>
      <c r="D15" s="796"/>
      <c r="E15" s="796"/>
      <c r="F15" s="368"/>
      <c r="G15" s="368" t="s">
        <v>92</v>
      </c>
      <c r="H15" s="796" t="str">
        <f>cst_wskakunin_owner2__space3</f>
        <v>三木　恵</v>
      </c>
      <c r="I15" s="796"/>
      <c r="J15" s="796"/>
    </row>
    <row r="16" spans="1:10" x14ac:dyDescent="0.15">
      <c r="A16" s="369"/>
      <c r="B16" s="369"/>
      <c r="C16" s="797"/>
      <c r="D16" s="797"/>
      <c r="E16" s="797"/>
      <c r="F16" s="369"/>
      <c r="G16" s="369"/>
      <c r="H16" s="797"/>
      <c r="I16" s="797"/>
      <c r="J16" s="797"/>
    </row>
    <row r="17" spans="1:28" ht="26.25" customHeight="1" x14ac:dyDescent="0.15">
      <c r="A17" s="787" t="s">
        <v>3133</v>
      </c>
      <c r="B17" s="787"/>
      <c r="C17" s="787"/>
      <c r="D17" s="798" t="str">
        <f ca="1">IF(cst_ISSUE_NO_select="","第　　　　　　　　　　　号",cst_ISSUE_NO_select)</f>
        <v>第　　　　　　　　　　　号</v>
      </c>
      <c r="E17" s="798"/>
      <c r="F17" s="798"/>
      <c r="G17" s="798"/>
      <c r="H17" s="798"/>
      <c r="I17" s="798"/>
      <c r="J17" s="798"/>
    </row>
    <row r="18" spans="1:28" ht="26.25" customHeight="1" x14ac:dyDescent="0.15">
      <c r="A18" s="787" t="s">
        <v>3134</v>
      </c>
      <c r="B18" s="787"/>
      <c r="C18" s="787"/>
      <c r="D18" s="799" t="str">
        <f ca="1">IF(cst_ISSUE_DATE_select="",TEXT(TODAY(),"ggg")&amp;"　　　年　　　　月　　　　日",cst_ISSUE_DATE_select)</f>
        <v>令和　　　年　　　　月　　　　日</v>
      </c>
      <c r="E18" s="799"/>
      <c r="F18" s="799"/>
      <c r="G18" s="799"/>
      <c r="H18" s="799"/>
      <c r="I18" s="799"/>
      <c r="J18" s="799"/>
    </row>
    <row r="19" spans="1:28" ht="26.25" customHeight="1" x14ac:dyDescent="0.15">
      <c r="A19" s="787" t="s">
        <v>3135</v>
      </c>
      <c r="B19" s="787"/>
      <c r="C19" s="787"/>
      <c r="D19" s="798" t="str">
        <f>cst_wskakunin_BUILD__address</f>
        <v>香川県丸亀市飯山町下法軍寺字島田737番3</v>
      </c>
      <c r="E19" s="798"/>
      <c r="F19" s="798"/>
      <c r="G19" s="798"/>
      <c r="H19" s="798"/>
      <c r="I19" s="798"/>
      <c r="J19" s="798"/>
    </row>
    <row r="20" spans="1:28" ht="26.25" customHeight="1" x14ac:dyDescent="0.15">
      <c r="A20" s="787" t="s">
        <v>3136</v>
      </c>
      <c r="B20" s="787"/>
      <c r="C20" s="787"/>
      <c r="D20" s="798" t="str">
        <f>cst_wskakunin_YOUTO</f>
        <v>一戸建ての住宅</v>
      </c>
      <c r="E20" s="798"/>
      <c r="F20" s="798"/>
      <c r="G20" s="798"/>
      <c r="H20" s="798"/>
      <c r="I20" s="798"/>
      <c r="J20" s="798"/>
    </row>
    <row r="21" spans="1:28" ht="26.25" customHeight="1" x14ac:dyDescent="0.15">
      <c r="A21" s="787" t="s">
        <v>3137</v>
      </c>
      <c r="B21" s="787"/>
      <c r="C21" s="787"/>
      <c r="D21" s="800" t="str">
        <f ca="1">TEXT(TODAY(),"ggg")&amp;"　　　年　　　　月　　　　日"</f>
        <v>令和　　　年　　　　月　　　　日</v>
      </c>
      <c r="E21" s="800"/>
      <c r="F21" s="800"/>
      <c r="G21" s="800"/>
      <c r="H21" s="800"/>
      <c r="I21" s="800"/>
      <c r="J21" s="800"/>
    </row>
    <row r="22" spans="1:28" ht="22.5" customHeight="1" x14ac:dyDescent="0.15">
      <c r="A22" s="790" t="s">
        <v>3153</v>
      </c>
      <c r="B22" s="790"/>
      <c r="C22" s="790"/>
      <c r="D22" s="370"/>
      <c r="E22" s="371"/>
      <c r="F22" s="371"/>
      <c r="G22" s="371"/>
      <c r="H22" s="370"/>
      <c r="I22" s="370"/>
    </row>
    <row r="23" spans="1:28" ht="22.5" customHeight="1" x14ac:dyDescent="0.15">
      <c r="A23" s="350" t="s">
        <v>3156</v>
      </c>
      <c r="B23" s="352"/>
      <c r="C23" s="794"/>
      <c r="D23" s="794"/>
      <c r="E23" s="794"/>
      <c r="F23" s="794"/>
      <c r="G23" s="794"/>
      <c r="H23" s="794"/>
      <c r="I23" s="794"/>
      <c r="J23" s="794"/>
      <c r="K23" s="375"/>
      <c r="L23" s="375"/>
      <c r="M23" s="375"/>
      <c r="N23" s="375"/>
      <c r="O23" s="375"/>
      <c r="P23" s="375"/>
      <c r="Q23" s="375"/>
      <c r="R23" s="375"/>
      <c r="S23" s="375"/>
      <c r="T23" s="375"/>
      <c r="U23" s="375"/>
      <c r="V23" s="375"/>
      <c r="W23" s="375"/>
      <c r="X23" s="375"/>
      <c r="Y23" s="375"/>
      <c r="Z23" s="375"/>
      <c r="AA23" s="352"/>
      <c r="AB23" s="352"/>
    </row>
    <row r="24" spans="1:28" ht="22.5" customHeight="1" x14ac:dyDescent="0.15">
      <c r="A24" s="350" t="s">
        <v>3157</v>
      </c>
      <c r="B24" s="352"/>
      <c r="C24" s="352" t="s">
        <v>3155</v>
      </c>
      <c r="D24" s="352"/>
      <c r="E24" s="770"/>
      <c r="F24" s="770"/>
      <c r="G24" s="367" t="s">
        <v>3140</v>
      </c>
      <c r="H24" s="377"/>
      <c r="I24" s="352" t="s">
        <v>439</v>
      </c>
      <c r="J24" s="352"/>
      <c r="K24" s="375"/>
      <c r="L24" s="375"/>
      <c r="M24" s="375"/>
      <c r="N24" s="352"/>
      <c r="O24" s="352"/>
      <c r="P24" s="352"/>
      <c r="Q24" s="375"/>
      <c r="R24" s="375"/>
      <c r="S24" s="375"/>
      <c r="T24" s="375"/>
      <c r="U24" s="375"/>
      <c r="V24" s="352"/>
      <c r="W24" s="352"/>
      <c r="X24" s="352"/>
      <c r="Y24" s="352"/>
      <c r="Z24" s="352"/>
      <c r="AA24" s="352"/>
    </row>
    <row r="25" spans="1:28" ht="22.5" customHeight="1" x14ac:dyDescent="0.15">
      <c r="A25" s="350"/>
      <c r="B25" s="352"/>
      <c r="C25" s="794"/>
      <c r="D25" s="794"/>
      <c r="E25" s="794"/>
      <c r="F25" s="794"/>
      <c r="G25" s="794"/>
      <c r="H25" s="794"/>
      <c r="I25" s="794"/>
      <c r="J25" s="794"/>
      <c r="K25" s="375"/>
      <c r="L25" s="375"/>
      <c r="M25" s="375"/>
      <c r="N25" s="375"/>
      <c r="O25" s="375"/>
      <c r="P25" s="375"/>
      <c r="Q25" s="375"/>
      <c r="R25" s="375"/>
      <c r="S25" s="375"/>
      <c r="T25" s="375"/>
      <c r="U25" s="375"/>
      <c r="V25" s="375"/>
      <c r="W25" s="375"/>
      <c r="X25" s="375"/>
      <c r="Y25" s="375"/>
      <c r="Z25" s="375"/>
      <c r="AA25" s="375"/>
      <c r="AB25" s="352"/>
    </row>
    <row r="26" spans="1:28" ht="22.5" customHeight="1" x14ac:dyDescent="0.15">
      <c r="A26" s="350" t="s">
        <v>3158</v>
      </c>
      <c r="B26" s="352"/>
      <c r="C26" s="794"/>
      <c r="D26" s="794"/>
      <c r="E26" s="794"/>
      <c r="F26" s="375"/>
      <c r="G26" s="375"/>
      <c r="H26" s="375"/>
      <c r="I26" s="352"/>
      <c r="J26" s="352"/>
      <c r="K26" s="352"/>
      <c r="L26" s="350"/>
      <c r="M26" s="352"/>
      <c r="N26" s="352"/>
      <c r="O26" s="352"/>
      <c r="P26" s="352"/>
      <c r="Q26" s="352"/>
      <c r="R26" s="352"/>
      <c r="S26" s="352"/>
      <c r="T26" s="352"/>
      <c r="U26" s="352"/>
      <c r="V26" s="352"/>
      <c r="W26" s="352"/>
      <c r="X26" s="352"/>
      <c r="Y26" s="352"/>
      <c r="Z26" s="352"/>
      <c r="AA26" s="352"/>
      <c r="AB26" s="375"/>
    </row>
    <row r="27" spans="1:28" ht="22.5" customHeight="1" x14ac:dyDescent="0.15">
      <c r="A27" s="352" t="s">
        <v>3159</v>
      </c>
      <c r="B27" s="352"/>
      <c r="C27" s="794"/>
      <c r="D27" s="794"/>
      <c r="E27" s="794"/>
      <c r="F27" s="794"/>
      <c r="G27" s="794"/>
      <c r="H27" s="794"/>
      <c r="I27" s="794"/>
      <c r="J27" s="794"/>
      <c r="K27" s="350"/>
      <c r="L27" s="350"/>
      <c r="M27" s="350"/>
      <c r="N27" s="350"/>
      <c r="O27" s="350"/>
      <c r="P27" s="350"/>
      <c r="Q27" s="350"/>
      <c r="R27" s="350"/>
      <c r="S27" s="350"/>
      <c r="T27" s="350"/>
      <c r="U27" s="350"/>
      <c r="V27" s="350"/>
      <c r="W27" s="350"/>
      <c r="X27" s="350"/>
      <c r="Y27" s="350"/>
      <c r="Z27" s="350"/>
      <c r="AA27" s="350"/>
      <c r="AB27" s="352"/>
    </row>
    <row r="28" spans="1:28" ht="22.5" customHeight="1" x14ac:dyDescent="0.15">
      <c r="A28" s="357" t="s">
        <v>3160</v>
      </c>
      <c r="B28" s="373"/>
      <c r="C28" s="789"/>
      <c r="D28" s="789"/>
      <c r="E28" s="789"/>
      <c r="F28" s="378"/>
      <c r="G28" s="378"/>
      <c r="H28" s="378"/>
      <c r="I28" s="378"/>
      <c r="J28" s="375"/>
      <c r="K28" s="375"/>
      <c r="L28" s="352"/>
      <c r="M28" s="352"/>
      <c r="N28" s="352"/>
      <c r="O28" s="352"/>
      <c r="P28" s="352"/>
      <c r="Q28" s="352"/>
      <c r="R28" s="352"/>
      <c r="S28" s="352"/>
      <c r="T28" s="352"/>
      <c r="U28" s="352"/>
      <c r="V28" s="352"/>
      <c r="W28" s="352"/>
      <c r="X28" s="352"/>
      <c r="Y28" s="352"/>
      <c r="Z28" s="352"/>
      <c r="AA28" s="352"/>
      <c r="AB28" s="375"/>
    </row>
    <row r="29" spans="1:28" ht="22.5" customHeight="1" x14ac:dyDescent="0.15">
      <c r="A29" s="790" t="s">
        <v>3154</v>
      </c>
      <c r="B29" s="790"/>
      <c r="C29" s="790"/>
      <c r="J29" s="370"/>
    </row>
    <row r="30" spans="1:28" ht="22.5" customHeight="1" x14ac:dyDescent="0.15">
      <c r="A30" s="350" t="s">
        <v>3156</v>
      </c>
      <c r="B30" s="352"/>
      <c r="C30" s="791" t="str">
        <f>cst_wskakunin_sekou1_NAME</f>
        <v>松坂　直樹</v>
      </c>
      <c r="D30" s="791"/>
      <c r="E30" s="791"/>
      <c r="F30" s="791"/>
      <c r="G30" s="791"/>
      <c r="H30" s="791"/>
      <c r="I30" s="791"/>
      <c r="J30" s="791"/>
    </row>
    <row r="31" spans="1:28" ht="22.5" customHeight="1" x14ac:dyDescent="0.15">
      <c r="A31" s="350" t="s">
        <v>3157</v>
      </c>
      <c r="B31" s="352"/>
      <c r="C31" s="352" t="s">
        <v>3155</v>
      </c>
      <c r="D31" s="352"/>
      <c r="E31" s="793" t="str">
        <f>cst_wskakunin_sekou1_SEKOU_SIKAKU</f>
        <v>国土交通大臣</v>
      </c>
      <c r="F31" s="793"/>
      <c r="G31" s="367" t="s">
        <v>3140</v>
      </c>
      <c r="H31" s="389" t="str">
        <f>cst_wskakunin_sekou1_SEKOU_NO</f>
        <v>(特-2)27833</v>
      </c>
      <c r="I31" s="352" t="s">
        <v>439</v>
      </c>
    </row>
    <row r="32" spans="1:28" ht="22.5" customHeight="1" x14ac:dyDescent="0.15">
      <c r="A32" s="350"/>
      <c r="B32" s="352"/>
      <c r="C32" s="791" t="str">
        <f>cst_wskakunin_sekou1_JIMU_NAME</f>
        <v>株式会社コラボハウス</v>
      </c>
      <c r="D32" s="791"/>
      <c r="E32" s="791"/>
      <c r="F32" s="791"/>
      <c r="G32" s="791"/>
      <c r="H32" s="791"/>
      <c r="I32" s="791"/>
      <c r="J32" s="791"/>
    </row>
    <row r="33" spans="1:10" ht="22.5" customHeight="1" x14ac:dyDescent="0.15">
      <c r="A33" s="350" t="s">
        <v>3158</v>
      </c>
      <c r="B33" s="352"/>
      <c r="C33" s="791" t="str">
        <f>cst_wskakunin_sekou1_ZIP</f>
        <v>790-0916</v>
      </c>
      <c r="D33" s="791"/>
      <c r="E33" s="791"/>
      <c r="F33" s="375"/>
      <c r="G33" s="375"/>
      <c r="H33" s="375"/>
      <c r="I33" s="352"/>
    </row>
    <row r="34" spans="1:10" ht="22.5" customHeight="1" x14ac:dyDescent="0.15">
      <c r="A34" s="352" t="s">
        <v>3159</v>
      </c>
      <c r="B34" s="352"/>
      <c r="C34" s="791" t="str">
        <f>cst_wskakunin_sekou1__address</f>
        <v>愛媛県松山市束本1丁目6-10 2F</v>
      </c>
      <c r="D34" s="791"/>
      <c r="E34" s="791"/>
      <c r="F34" s="791"/>
      <c r="G34" s="791"/>
      <c r="H34" s="791"/>
      <c r="I34" s="791"/>
      <c r="J34" s="791"/>
    </row>
    <row r="35" spans="1:10" ht="22.5" customHeight="1" x14ac:dyDescent="0.15">
      <c r="A35" s="357" t="s">
        <v>3160</v>
      </c>
      <c r="B35" s="373"/>
      <c r="C35" s="788" t="str">
        <f>cst_wskakunin_sekou1_TEL</f>
        <v>089-947-1313</v>
      </c>
      <c r="D35" s="788"/>
      <c r="E35" s="788"/>
      <c r="F35" s="378"/>
      <c r="G35" s="378"/>
      <c r="H35" s="378"/>
      <c r="I35" s="378"/>
      <c r="J35" s="379"/>
    </row>
    <row r="36" spans="1:10" ht="22.5" customHeight="1" x14ac:dyDescent="0.15"/>
    <row r="37" spans="1:10" ht="22.5" customHeight="1" x14ac:dyDescent="0.15"/>
    <row r="38" spans="1:10" ht="22.5" customHeight="1" x14ac:dyDescent="0.15"/>
    <row r="39" spans="1:10" ht="22.5" customHeight="1" x14ac:dyDescent="0.15"/>
    <row r="40" spans="1:10" ht="22.5" customHeight="1" x14ac:dyDescent="0.15"/>
    <row r="41" spans="1:10" ht="22.5" customHeight="1" x14ac:dyDescent="0.15"/>
    <row r="42" spans="1:10" ht="22.5" customHeight="1" x14ac:dyDescent="0.15"/>
    <row r="43" spans="1:10" ht="22.5" customHeight="1" x14ac:dyDescent="0.15"/>
    <row r="44" spans="1:10" ht="22.5" customHeight="1" x14ac:dyDescent="0.15"/>
    <row r="45" spans="1:10" ht="22.5" customHeight="1" x14ac:dyDescent="0.15"/>
  </sheetData>
  <mergeCells count="30">
    <mergeCell ref="C34:J34"/>
    <mergeCell ref="C33:E33"/>
    <mergeCell ref="C35:E35"/>
    <mergeCell ref="E24:F24"/>
    <mergeCell ref="C26:E26"/>
    <mergeCell ref="C28:E28"/>
    <mergeCell ref="A29:C29"/>
    <mergeCell ref="E31:F31"/>
    <mergeCell ref="C25:J25"/>
    <mergeCell ref="C27:J27"/>
    <mergeCell ref="C30:J30"/>
    <mergeCell ref="C32:J32"/>
    <mergeCell ref="D18:J18"/>
    <mergeCell ref="D19:J19"/>
    <mergeCell ref="D21:J21"/>
    <mergeCell ref="D20:J20"/>
    <mergeCell ref="C23:J23"/>
    <mergeCell ref="A21:C21"/>
    <mergeCell ref="A22:C22"/>
    <mergeCell ref="A18:C18"/>
    <mergeCell ref="A19:C19"/>
    <mergeCell ref="A20:C20"/>
    <mergeCell ref="A17:C17"/>
    <mergeCell ref="A2:J4"/>
    <mergeCell ref="H6:J6"/>
    <mergeCell ref="C13:E14"/>
    <mergeCell ref="C15:E16"/>
    <mergeCell ref="H13:J14"/>
    <mergeCell ref="H15:J16"/>
    <mergeCell ref="D17:J17"/>
  </mergeCells>
  <phoneticPr fontId="32"/>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47"/>
  <sheetViews>
    <sheetView zoomScaleNormal="100" workbookViewId="0"/>
  </sheetViews>
  <sheetFormatPr defaultColWidth="9" defaultRowHeight="13.5" x14ac:dyDescent="0.15"/>
  <cols>
    <col min="1" max="6" width="9.75" style="367" customWidth="1"/>
    <col min="7" max="7" width="11.375" style="367" customWidth="1"/>
    <col min="8" max="8" width="9.75" style="367" customWidth="1"/>
    <col min="9" max="9" width="8.125" style="367" customWidth="1"/>
    <col min="10" max="10" width="9" style="367" customWidth="1"/>
    <col min="11" max="16384" width="9" style="367"/>
  </cols>
  <sheetData>
    <row r="1" spans="1:9" x14ac:dyDescent="0.15">
      <c r="A1" s="367" t="s">
        <v>3161</v>
      </c>
    </row>
    <row r="2" spans="1:9" x14ac:dyDescent="0.15">
      <c r="A2" s="577" t="s">
        <v>3162</v>
      </c>
      <c r="B2" s="577"/>
      <c r="C2" s="577"/>
      <c r="D2" s="577"/>
      <c r="E2" s="577"/>
      <c r="F2" s="577"/>
      <c r="G2" s="577"/>
      <c r="H2" s="577"/>
      <c r="I2" s="577"/>
    </row>
    <row r="3" spans="1:9" x14ac:dyDescent="0.15">
      <c r="A3" s="577"/>
      <c r="B3" s="577"/>
      <c r="C3" s="577"/>
      <c r="D3" s="577"/>
      <c r="E3" s="577"/>
      <c r="F3" s="577"/>
      <c r="G3" s="577"/>
      <c r="H3" s="577"/>
      <c r="I3" s="577"/>
    </row>
    <row r="4" spans="1:9" x14ac:dyDescent="0.15">
      <c r="A4" s="577"/>
      <c r="B4" s="577"/>
      <c r="C4" s="577"/>
      <c r="D4" s="577"/>
      <c r="E4" s="577"/>
      <c r="F4" s="577"/>
      <c r="G4" s="577"/>
      <c r="H4" s="577"/>
      <c r="I4" s="577"/>
    </row>
    <row r="6" spans="1:9" x14ac:dyDescent="0.15">
      <c r="G6" s="754" t="s">
        <v>3173</v>
      </c>
      <c r="H6" s="754"/>
      <c r="I6" s="754"/>
    </row>
    <row r="8" spans="1:9" x14ac:dyDescent="0.15">
      <c r="A8" s="367" t="str">
        <f ca="1">cst_Pre_Corp__TODAY&amp;"　様"</f>
        <v>株式会社　香川県建築住宅センター　様</v>
      </c>
    </row>
    <row r="10" spans="1:9" x14ac:dyDescent="0.15">
      <c r="A10" s="380"/>
    </row>
    <row r="12" spans="1:9" ht="19.5" customHeight="1" x14ac:dyDescent="0.15">
      <c r="E12" s="367" t="s">
        <v>3163</v>
      </c>
    </row>
    <row r="13" spans="1:9" ht="15" customHeight="1" x14ac:dyDescent="0.15">
      <c r="D13" s="368"/>
      <c r="E13" s="368" t="s">
        <v>6</v>
      </c>
      <c r="F13" s="805"/>
      <c r="G13" s="805"/>
      <c r="H13" s="805"/>
      <c r="I13" s="805"/>
    </row>
    <row r="14" spans="1:9" ht="15" customHeight="1" x14ac:dyDescent="0.15">
      <c r="D14" s="368"/>
      <c r="E14" s="368"/>
      <c r="F14" s="805"/>
      <c r="G14" s="805"/>
      <c r="H14" s="805"/>
      <c r="I14" s="805"/>
    </row>
    <row r="15" spans="1:9" ht="15" customHeight="1" x14ac:dyDescent="0.15">
      <c r="D15" s="368"/>
      <c r="E15" s="368" t="s">
        <v>92</v>
      </c>
      <c r="F15" s="796" t="str">
        <f>cst_wskakunin_APPLICANT_NAME</f>
        <v>三木　章史 三木　恵</v>
      </c>
      <c r="G15" s="796"/>
      <c r="H15" s="796"/>
      <c r="I15" s="796"/>
    </row>
    <row r="16" spans="1:9" x14ac:dyDescent="0.15">
      <c r="D16" s="369"/>
      <c r="E16" s="369"/>
      <c r="F16" s="796"/>
      <c r="G16" s="796"/>
      <c r="H16" s="796"/>
      <c r="I16" s="796"/>
    </row>
    <row r="17" spans="1:28" ht="22.5" customHeight="1" x14ac:dyDescent="0.15">
      <c r="B17" s="367" t="s">
        <v>3164</v>
      </c>
      <c r="D17" s="369"/>
      <c r="E17" s="369"/>
      <c r="F17" s="381"/>
      <c r="G17" s="381"/>
      <c r="H17" s="381"/>
      <c r="I17" s="381"/>
    </row>
    <row r="18" spans="1:28" x14ac:dyDescent="0.15">
      <c r="D18" s="369"/>
      <c r="E18" s="369"/>
      <c r="F18" s="381"/>
      <c r="G18" s="381"/>
      <c r="H18" s="381"/>
      <c r="I18" s="381"/>
    </row>
    <row r="19" spans="1:28" ht="60.75" customHeight="1" x14ac:dyDescent="0.15">
      <c r="A19" s="810" t="s">
        <v>3165</v>
      </c>
      <c r="B19" s="810"/>
      <c r="C19" s="810"/>
      <c r="D19" s="810"/>
      <c r="E19" s="802" t="str">
        <f>cst_wskakunin_BUILD__address</f>
        <v>香川県丸亀市飯山町下法軍寺字島田737番3</v>
      </c>
      <c r="F19" s="803"/>
      <c r="G19" s="803"/>
      <c r="H19" s="803"/>
      <c r="I19" s="804"/>
    </row>
    <row r="20" spans="1:28" ht="60.75" customHeight="1" x14ac:dyDescent="0.15">
      <c r="A20" s="810" t="s">
        <v>3166</v>
      </c>
      <c r="B20" s="810"/>
      <c r="C20" s="810"/>
      <c r="D20" s="810"/>
      <c r="E20" s="384"/>
      <c r="F20" s="382" t="s">
        <v>3171</v>
      </c>
      <c r="G20" s="385"/>
      <c r="H20" s="382" t="s">
        <v>3172</v>
      </c>
      <c r="I20" s="383"/>
    </row>
    <row r="21" spans="1:28" ht="60" customHeight="1" x14ac:dyDescent="0.15">
      <c r="A21" s="811" t="s">
        <v>3170</v>
      </c>
      <c r="B21" s="811"/>
      <c r="C21" s="810" t="s">
        <v>3104</v>
      </c>
      <c r="D21" s="810"/>
      <c r="E21" s="812"/>
      <c r="F21" s="813"/>
      <c r="G21" s="813"/>
      <c r="H21" s="813"/>
      <c r="I21" s="814"/>
    </row>
    <row r="22" spans="1:28" ht="60" customHeight="1" x14ac:dyDescent="0.15">
      <c r="A22" s="811"/>
      <c r="B22" s="811"/>
      <c r="C22" s="810" t="s">
        <v>3102</v>
      </c>
      <c r="D22" s="810"/>
      <c r="E22" s="815"/>
      <c r="F22" s="816"/>
      <c r="G22" s="816"/>
      <c r="H22" s="816"/>
      <c r="I22" s="817"/>
    </row>
    <row r="23" spans="1:28" ht="60.75" customHeight="1" x14ac:dyDescent="0.15">
      <c r="A23" s="810" t="s">
        <v>3167</v>
      </c>
      <c r="B23" s="810"/>
      <c r="C23" s="810"/>
      <c r="D23" s="810"/>
      <c r="E23" s="801"/>
      <c r="F23" s="801"/>
      <c r="G23" s="801"/>
      <c r="H23" s="801"/>
      <c r="I23" s="801"/>
    </row>
    <row r="24" spans="1:28" ht="60.75" customHeight="1" x14ac:dyDescent="0.15">
      <c r="A24" s="810" t="s">
        <v>3168</v>
      </c>
      <c r="B24" s="810"/>
      <c r="C24" s="810"/>
      <c r="D24" s="810"/>
      <c r="E24" s="801" t="s">
        <v>3174</v>
      </c>
      <c r="F24" s="801"/>
      <c r="G24" s="801"/>
      <c r="H24" s="801"/>
      <c r="I24" s="801"/>
    </row>
    <row r="25" spans="1:28" ht="60.75" customHeight="1" x14ac:dyDescent="0.15">
      <c r="A25" s="810" t="s">
        <v>3169</v>
      </c>
      <c r="B25" s="810"/>
      <c r="C25" s="810"/>
      <c r="D25" s="810"/>
      <c r="E25" s="806" t="str">
        <f ca="1">IF(cst_ISSUE_DATE_select="","　年　月　日",cst_ISSUE_DATE_select)</f>
        <v>　年　月　日</v>
      </c>
      <c r="F25" s="807"/>
      <c r="G25" s="808" t="str">
        <f ca="1">IF(cst_ISSUE_NO_select="","",cst_ISSUE_NO_select)</f>
        <v/>
      </c>
      <c r="H25" s="808"/>
      <c r="I25" s="809"/>
    </row>
    <row r="26" spans="1:28" ht="22.5" customHeight="1" x14ac:dyDescent="0.15">
      <c r="A26" s="350"/>
      <c r="B26" s="352"/>
      <c r="C26" s="352"/>
      <c r="D26" s="352"/>
      <c r="E26" s="350"/>
      <c r="F26" s="350"/>
      <c r="H26" s="352"/>
      <c r="I26" s="352"/>
      <c r="J26" s="352"/>
      <c r="K26" s="375"/>
      <c r="L26" s="375"/>
      <c r="M26" s="375"/>
      <c r="N26" s="352"/>
      <c r="O26" s="352"/>
      <c r="P26" s="352"/>
      <c r="Q26" s="375"/>
      <c r="R26" s="375"/>
      <c r="S26" s="375"/>
      <c r="T26" s="375"/>
      <c r="U26" s="375"/>
      <c r="V26" s="352"/>
      <c r="W26" s="352"/>
      <c r="X26" s="352"/>
      <c r="Y26" s="352"/>
      <c r="Z26" s="352"/>
      <c r="AA26" s="352"/>
    </row>
    <row r="27" spans="1:28" ht="22.5" customHeight="1" x14ac:dyDescent="0.15">
      <c r="A27" s="350"/>
      <c r="B27" s="352"/>
      <c r="C27" s="350"/>
      <c r="D27" s="350"/>
      <c r="E27" s="350"/>
      <c r="F27" s="350"/>
      <c r="G27" s="350"/>
      <c r="H27" s="350"/>
      <c r="I27" s="350"/>
      <c r="J27" s="375"/>
      <c r="K27" s="375"/>
      <c r="L27" s="375"/>
      <c r="M27" s="375"/>
      <c r="N27" s="375"/>
      <c r="O27" s="375"/>
      <c r="P27" s="375"/>
      <c r="Q27" s="375"/>
      <c r="R27" s="375"/>
      <c r="S27" s="375"/>
      <c r="T27" s="375"/>
      <c r="U27" s="375"/>
      <c r="V27" s="375"/>
      <c r="W27" s="375"/>
      <c r="X27" s="375"/>
      <c r="Y27" s="375"/>
      <c r="Z27" s="375"/>
      <c r="AA27" s="375"/>
      <c r="AB27" s="352"/>
    </row>
    <row r="28" spans="1:28" ht="22.5" customHeight="1" x14ac:dyDescent="0.15">
      <c r="A28" s="350"/>
      <c r="B28" s="352"/>
      <c r="C28" s="350"/>
      <c r="D28" s="350"/>
      <c r="E28" s="350"/>
      <c r="F28" s="375"/>
      <c r="G28" s="375"/>
      <c r="H28" s="375"/>
      <c r="I28" s="352"/>
      <c r="J28" s="352"/>
      <c r="K28" s="352"/>
      <c r="L28" s="350"/>
      <c r="M28" s="352"/>
      <c r="N28" s="352"/>
      <c r="O28" s="352"/>
      <c r="P28" s="352"/>
      <c r="Q28" s="352"/>
      <c r="R28" s="352"/>
      <c r="S28" s="352"/>
      <c r="T28" s="352"/>
      <c r="U28" s="352"/>
      <c r="V28" s="352"/>
      <c r="W28" s="352"/>
      <c r="X28" s="352"/>
      <c r="Y28" s="352"/>
      <c r="Z28" s="352"/>
      <c r="AA28" s="352"/>
      <c r="AB28" s="375"/>
    </row>
    <row r="29" spans="1:28" ht="22.5" customHeight="1" x14ac:dyDescent="0.15">
      <c r="A29" s="352"/>
      <c r="B29" s="352"/>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2"/>
    </row>
    <row r="30" spans="1:28" ht="22.5" customHeight="1" x14ac:dyDescent="0.15">
      <c r="A30" s="350"/>
      <c r="B30" s="352"/>
      <c r="C30" s="350"/>
      <c r="D30" s="350"/>
      <c r="E30" s="350"/>
      <c r="F30" s="375"/>
      <c r="G30" s="375"/>
      <c r="H30" s="375"/>
      <c r="I30" s="375"/>
      <c r="J30" s="375"/>
      <c r="K30" s="375"/>
      <c r="L30" s="352"/>
      <c r="M30" s="352"/>
      <c r="N30" s="352"/>
      <c r="O30" s="352"/>
      <c r="P30" s="352"/>
      <c r="Q30" s="352"/>
      <c r="R30" s="352"/>
      <c r="S30" s="352"/>
      <c r="T30" s="352"/>
      <c r="U30" s="352"/>
      <c r="V30" s="352"/>
      <c r="W30" s="352"/>
      <c r="X30" s="352"/>
      <c r="Y30" s="352"/>
      <c r="Z30" s="352"/>
      <c r="AA30" s="352"/>
      <c r="AB30" s="375"/>
    </row>
    <row r="31" spans="1:28" ht="22.5" customHeight="1" x14ac:dyDescent="0.15"/>
    <row r="32" spans="1:28" ht="22.5" customHeight="1" x14ac:dyDescent="0.15">
      <c r="A32" s="350"/>
      <c r="B32" s="352"/>
      <c r="C32" s="350"/>
      <c r="D32" s="350"/>
      <c r="E32" s="350"/>
      <c r="F32" s="350"/>
      <c r="G32" s="350"/>
      <c r="H32" s="350"/>
      <c r="I32" s="350"/>
    </row>
    <row r="33" spans="1:9" ht="22.5" customHeight="1" x14ac:dyDescent="0.15">
      <c r="A33" s="350"/>
      <c r="B33" s="352"/>
      <c r="C33" s="352"/>
      <c r="D33" s="352"/>
      <c r="E33" s="350"/>
      <c r="F33" s="350"/>
      <c r="H33" s="352"/>
      <c r="I33" s="352"/>
    </row>
    <row r="34" spans="1:9" ht="22.5" customHeight="1" x14ac:dyDescent="0.15">
      <c r="A34" s="350"/>
      <c r="B34" s="352"/>
      <c r="C34" s="350"/>
      <c r="D34" s="350"/>
      <c r="E34" s="350"/>
      <c r="F34" s="350"/>
      <c r="G34" s="350"/>
      <c r="H34" s="350"/>
      <c r="I34" s="350"/>
    </row>
    <row r="35" spans="1:9" ht="22.5" customHeight="1" x14ac:dyDescent="0.15">
      <c r="A35" s="350"/>
      <c r="B35" s="352"/>
      <c r="C35" s="350"/>
      <c r="D35" s="350"/>
      <c r="E35" s="350"/>
      <c r="F35" s="375"/>
      <c r="G35" s="375"/>
      <c r="H35" s="375"/>
      <c r="I35" s="352"/>
    </row>
    <row r="36" spans="1:9" ht="22.5" customHeight="1" x14ac:dyDescent="0.15">
      <c r="A36" s="352"/>
      <c r="B36" s="352"/>
      <c r="C36" s="350"/>
      <c r="D36" s="350"/>
      <c r="E36" s="350"/>
      <c r="F36" s="350"/>
      <c r="G36" s="350"/>
      <c r="H36" s="350"/>
      <c r="I36" s="350"/>
    </row>
    <row r="37" spans="1:9" ht="22.5" customHeight="1" x14ac:dyDescent="0.15">
      <c r="A37" s="350"/>
      <c r="B37" s="352"/>
      <c r="C37" s="350"/>
      <c r="D37" s="350"/>
      <c r="E37" s="350"/>
      <c r="F37" s="375"/>
      <c r="G37" s="375"/>
      <c r="H37" s="375"/>
      <c r="I37" s="375"/>
    </row>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sheetData>
  <mergeCells count="18">
    <mergeCell ref="E25:F25"/>
    <mergeCell ref="G25:I25"/>
    <mergeCell ref="A19:D19"/>
    <mergeCell ref="A20:D20"/>
    <mergeCell ref="C21:D21"/>
    <mergeCell ref="C22:D22"/>
    <mergeCell ref="A23:D23"/>
    <mergeCell ref="A24:D24"/>
    <mergeCell ref="A25:D25"/>
    <mergeCell ref="A21:B22"/>
    <mergeCell ref="E21:I22"/>
    <mergeCell ref="E23:I23"/>
    <mergeCell ref="E24:I24"/>
    <mergeCell ref="E19:I19"/>
    <mergeCell ref="A2:I4"/>
    <mergeCell ref="G6:I6"/>
    <mergeCell ref="F13:I14"/>
    <mergeCell ref="F15:I16"/>
  </mergeCells>
  <phoneticPr fontId="3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20D25-BFC4-4E48-8ECA-AFDBDA222EBA}">
  <dimension ref="A1:U64"/>
  <sheetViews>
    <sheetView tabSelected="1" zoomScaleNormal="100" workbookViewId="0">
      <selection activeCell="B24" sqref="B24"/>
    </sheetView>
  </sheetViews>
  <sheetFormatPr defaultRowHeight="13.5" x14ac:dyDescent="0.15"/>
  <cols>
    <col min="1" max="1" width="4.125" style="350" customWidth="1"/>
    <col min="2" max="2" width="2.875" style="350" customWidth="1"/>
    <col min="3" max="3" width="3.25" style="350" customWidth="1"/>
    <col min="4" max="4" width="9" style="350"/>
    <col min="5" max="5" width="4.75" style="350" customWidth="1"/>
    <col min="6" max="6" width="10" style="350" customWidth="1"/>
    <col min="7" max="7" width="3.25" style="350" customWidth="1"/>
    <col min="8" max="8" width="2.625" style="350" customWidth="1"/>
    <col min="9" max="13" width="3" style="350" customWidth="1"/>
    <col min="14" max="14" width="3.375" style="350" customWidth="1"/>
    <col min="15" max="15" width="8.5" style="350" customWidth="1"/>
    <col min="16" max="21" width="3" style="350" customWidth="1"/>
    <col min="22" max="16384" width="9" style="350"/>
  </cols>
  <sheetData>
    <row r="1" spans="1:21" ht="15.75" customHeight="1" x14ac:dyDescent="0.15"/>
    <row r="2" spans="1:21" ht="15.75" customHeight="1" x14ac:dyDescent="0.15"/>
    <row r="3" spans="1:21" ht="21.75" customHeight="1" x14ac:dyDescent="0.15">
      <c r="A3" s="827" t="s">
        <v>3482</v>
      </c>
      <c r="B3" s="827"/>
      <c r="C3" s="827"/>
      <c r="D3" s="827"/>
      <c r="E3" s="827"/>
      <c r="F3" s="827"/>
      <c r="G3" s="827"/>
      <c r="H3" s="827"/>
      <c r="I3" s="827"/>
      <c r="J3" s="827"/>
      <c r="K3" s="827"/>
      <c r="L3" s="827"/>
      <c r="M3" s="827"/>
      <c r="N3" s="827"/>
      <c r="O3" s="827"/>
      <c r="P3" s="827"/>
      <c r="Q3" s="827"/>
      <c r="R3" s="827"/>
      <c r="S3" s="827"/>
      <c r="T3" s="827"/>
      <c r="U3" s="827"/>
    </row>
    <row r="4" spans="1:21" ht="15.75" customHeight="1" x14ac:dyDescent="0.15"/>
    <row r="5" spans="1:21" ht="15.75" customHeight="1" x14ac:dyDescent="0.15">
      <c r="I5" s="828"/>
      <c r="J5" s="828"/>
      <c r="K5" s="828"/>
      <c r="L5" s="828"/>
      <c r="N5" s="522"/>
      <c r="O5" s="372" t="s">
        <v>3514</v>
      </c>
      <c r="P5" s="521"/>
      <c r="Q5" s="350" t="s">
        <v>3505</v>
      </c>
      <c r="R5" s="521"/>
      <c r="S5" s="350" t="s">
        <v>3507</v>
      </c>
      <c r="T5" s="521"/>
      <c r="U5" s="350" t="s">
        <v>3508</v>
      </c>
    </row>
    <row r="6" spans="1:21" ht="15.75" customHeight="1" x14ac:dyDescent="0.15"/>
    <row r="7" spans="1:21" ht="15.75" customHeight="1" x14ac:dyDescent="0.15">
      <c r="A7" s="350" t="s">
        <v>3519</v>
      </c>
    </row>
    <row r="8" spans="1:21" ht="15.75" customHeight="1" x14ac:dyDescent="0.15"/>
    <row r="9" spans="1:21" ht="15.75" customHeight="1" x14ac:dyDescent="0.15">
      <c r="F9" s="825" t="s">
        <v>3520</v>
      </c>
      <c r="G9" s="826"/>
      <c r="H9" s="826"/>
      <c r="I9" s="826"/>
      <c r="J9" s="826"/>
      <c r="K9" s="826"/>
      <c r="L9" s="826"/>
      <c r="M9" s="823"/>
      <c r="N9" s="819"/>
      <c r="O9" s="819"/>
      <c r="P9" s="819"/>
      <c r="Q9" s="819"/>
      <c r="R9" s="819"/>
      <c r="S9" s="819"/>
      <c r="T9" s="819"/>
      <c r="U9" s="819"/>
    </row>
    <row r="10" spans="1:21" ht="15.75" customHeight="1" x14ac:dyDescent="0.15">
      <c r="F10" s="825"/>
      <c r="G10" s="826"/>
      <c r="H10" s="826"/>
      <c r="I10" s="826"/>
      <c r="J10" s="826"/>
      <c r="K10" s="826"/>
      <c r="L10" s="826"/>
      <c r="M10" s="823"/>
      <c r="N10" s="819"/>
      <c r="O10" s="819"/>
      <c r="P10" s="819"/>
      <c r="Q10" s="819"/>
      <c r="R10" s="819"/>
      <c r="S10" s="819"/>
      <c r="T10" s="819"/>
      <c r="U10" s="819"/>
    </row>
    <row r="11" spans="1:21" ht="15.75" customHeight="1" x14ac:dyDescent="0.15">
      <c r="F11" s="825" t="s">
        <v>3521</v>
      </c>
      <c r="G11" s="826"/>
      <c r="H11" s="826"/>
      <c r="I11" s="826"/>
      <c r="J11" s="826"/>
      <c r="K11" s="826"/>
      <c r="L11" s="826"/>
      <c r="M11" s="823"/>
      <c r="N11" s="819"/>
      <c r="O11" s="819"/>
      <c r="P11" s="819"/>
      <c r="Q11" s="819"/>
      <c r="R11" s="819"/>
      <c r="S11" s="819"/>
      <c r="T11" s="819"/>
      <c r="U11" s="819"/>
    </row>
    <row r="12" spans="1:21" ht="15.75" customHeight="1" x14ac:dyDescent="0.15">
      <c r="M12" s="823"/>
      <c r="N12" s="819"/>
      <c r="O12" s="819"/>
      <c r="P12" s="819"/>
      <c r="Q12" s="819"/>
      <c r="R12" s="819"/>
      <c r="S12" s="819"/>
      <c r="T12" s="819"/>
      <c r="U12" s="819"/>
    </row>
    <row r="13" spans="1:21" ht="15.75" customHeight="1" x14ac:dyDescent="0.15"/>
    <row r="14" spans="1:21" ht="15.75" customHeight="1" x14ac:dyDescent="0.15">
      <c r="A14" s="350" t="s">
        <v>3483</v>
      </c>
    </row>
    <row r="15" spans="1:21" ht="15.75" customHeight="1" x14ac:dyDescent="0.15">
      <c r="A15" s="350" t="s">
        <v>3484</v>
      </c>
    </row>
    <row r="16" spans="1:21" ht="15.75" customHeight="1" x14ac:dyDescent="0.15">
      <c r="A16" s="350" t="s">
        <v>3485</v>
      </c>
    </row>
    <row r="17" spans="1:21" ht="15.75" customHeight="1" x14ac:dyDescent="0.15">
      <c r="A17" s="350" t="s">
        <v>3486</v>
      </c>
    </row>
    <row r="18" spans="1:21" ht="15.75" customHeight="1" x14ac:dyDescent="0.15">
      <c r="A18" s="350" t="s">
        <v>3518</v>
      </c>
    </row>
    <row r="19" spans="1:21" ht="15.75" customHeight="1" x14ac:dyDescent="0.15">
      <c r="A19" s="350" t="s">
        <v>3487</v>
      </c>
    </row>
    <row r="20" spans="1:21" ht="15.75" customHeight="1" x14ac:dyDescent="0.15"/>
    <row r="21" spans="1:21" ht="15.75" customHeight="1" x14ac:dyDescent="0.15">
      <c r="A21" s="750" t="s">
        <v>3488</v>
      </c>
      <c r="B21" s="750"/>
      <c r="C21" s="750"/>
      <c r="D21" s="750"/>
      <c r="E21" s="750"/>
      <c r="F21" s="750"/>
      <c r="G21" s="750"/>
      <c r="H21" s="750"/>
      <c r="I21" s="750"/>
      <c r="J21" s="750"/>
      <c r="K21" s="750"/>
      <c r="L21" s="750"/>
      <c r="M21" s="750"/>
      <c r="N21" s="750"/>
      <c r="O21" s="750"/>
      <c r="P21" s="750"/>
      <c r="Q21" s="750"/>
      <c r="R21" s="750"/>
      <c r="S21" s="750"/>
      <c r="T21" s="750"/>
      <c r="U21" s="750"/>
    </row>
    <row r="22" spans="1:21" ht="15.75" customHeight="1" x14ac:dyDescent="0.15"/>
    <row r="23" spans="1:21" ht="15.75" customHeight="1" x14ac:dyDescent="0.15">
      <c r="A23" s="350" t="s">
        <v>3489</v>
      </c>
    </row>
    <row r="24" spans="1:21" ht="15.75" customHeight="1" x14ac:dyDescent="0.15">
      <c r="B24" s="523" t="s">
        <v>3490</v>
      </c>
      <c r="C24" s="517">
        <v>-1</v>
      </c>
      <c r="D24" s="350" t="s">
        <v>3517</v>
      </c>
    </row>
    <row r="25" spans="1:21" ht="15.75" customHeight="1" x14ac:dyDescent="0.15">
      <c r="B25" s="523" t="s">
        <v>3490</v>
      </c>
      <c r="C25" s="517">
        <v>-2</v>
      </c>
      <c r="D25" s="350" t="s">
        <v>3515</v>
      </c>
    </row>
    <row r="26" spans="1:21" ht="15.75" customHeight="1" x14ac:dyDescent="0.15">
      <c r="B26" s="523" t="s">
        <v>3490</v>
      </c>
      <c r="C26" s="517">
        <v>-3</v>
      </c>
      <c r="D26" s="350" t="s">
        <v>3516</v>
      </c>
    </row>
    <row r="27" spans="1:21" ht="15.75" customHeight="1" x14ac:dyDescent="0.15">
      <c r="A27" s="350" t="s">
        <v>3491</v>
      </c>
    </row>
    <row r="28" spans="1:21" ht="15.75" customHeight="1" x14ac:dyDescent="0.15">
      <c r="B28" s="523" t="s">
        <v>3490</v>
      </c>
      <c r="C28" s="350" t="s">
        <v>3492</v>
      </c>
      <c r="G28" s="350" t="s">
        <v>3504</v>
      </c>
      <c r="I28" s="521"/>
      <c r="J28" s="350" t="s">
        <v>3505</v>
      </c>
      <c r="K28" s="521"/>
      <c r="L28" s="350" t="s">
        <v>3507</v>
      </c>
      <c r="M28" s="521"/>
      <c r="N28" s="350" t="s">
        <v>3509</v>
      </c>
    </row>
    <row r="29" spans="1:21" ht="15.75" customHeight="1" x14ac:dyDescent="0.15">
      <c r="B29" s="523" t="s">
        <v>3490</v>
      </c>
      <c r="C29" s="350" t="s">
        <v>3493</v>
      </c>
      <c r="G29" s="350" t="s">
        <v>3504</v>
      </c>
      <c r="I29" s="521"/>
      <c r="J29" s="350" t="s">
        <v>3505</v>
      </c>
      <c r="K29" s="521"/>
      <c r="L29" s="350" t="s">
        <v>3507</v>
      </c>
      <c r="M29" s="521"/>
      <c r="N29" s="350" t="s">
        <v>3509</v>
      </c>
    </row>
    <row r="30" spans="1:21" ht="15.75" customHeight="1" x14ac:dyDescent="0.15">
      <c r="D30" s="350" t="s">
        <v>3494</v>
      </c>
      <c r="F30" s="818"/>
      <c r="G30" s="819"/>
      <c r="H30" s="819"/>
      <c r="I30" s="819"/>
      <c r="J30" s="819"/>
      <c r="K30" s="819"/>
      <c r="L30" s="819"/>
      <c r="M30" s="819"/>
      <c r="N30" s="819"/>
      <c r="O30" s="819"/>
      <c r="P30" s="819"/>
      <c r="Q30" s="819"/>
      <c r="R30" s="819"/>
      <c r="S30" s="819"/>
      <c r="T30" s="819"/>
      <c r="U30" s="819"/>
    </row>
    <row r="31" spans="1:21" ht="15.75" customHeight="1" x14ac:dyDescent="0.15">
      <c r="D31" s="350" t="s">
        <v>3495</v>
      </c>
      <c r="F31" s="818"/>
      <c r="G31" s="819"/>
      <c r="H31" s="819"/>
      <c r="I31" s="819"/>
      <c r="J31" s="819"/>
      <c r="K31" s="819"/>
      <c r="L31" s="819"/>
      <c r="M31" s="819"/>
      <c r="N31" s="819"/>
      <c r="O31" s="819"/>
      <c r="P31" s="819"/>
      <c r="Q31" s="819"/>
      <c r="R31" s="819"/>
      <c r="S31" s="819"/>
      <c r="T31" s="819"/>
      <c r="U31" s="819"/>
    </row>
    <row r="32" spans="1:21" ht="15.75" customHeight="1" x14ac:dyDescent="0.15">
      <c r="D32" s="251" t="s">
        <v>3496</v>
      </c>
    </row>
    <row r="33" spans="2:17" ht="15.75" customHeight="1" x14ac:dyDescent="0.15">
      <c r="D33" s="251" t="s">
        <v>3497</v>
      </c>
    </row>
    <row r="34" spans="2:17" ht="15.75" customHeight="1" x14ac:dyDescent="0.15">
      <c r="D34" s="251" t="s">
        <v>3498</v>
      </c>
    </row>
    <row r="35" spans="2:17" ht="15.75" customHeight="1" x14ac:dyDescent="0.15"/>
    <row r="36" spans="2:17" ht="15.75" customHeight="1" x14ac:dyDescent="0.15">
      <c r="B36" s="820" t="s">
        <v>3499</v>
      </c>
      <c r="C36" s="821"/>
      <c r="D36" s="821"/>
      <c r="E36" s="821"/>
      <c r="F36" s="821"/>
      <c r="G36" s="821"/>
      <c r="H36" s="821"/>
      <c r="I36" s="821"/>
      <c r="J36" s="821"/>
      <c r="K36" s="821"/>
      <c r="L36" s="821"/>
      <c r="M36" s="824"/>
      <c r="N36" s="820" t="s">
        <v>3512</v>
      </c>
      <c r="O36" s="821"/>
      <c r="P36" s="821"/>
      <c r="Q36" s="822"/>
    </row>
    <row r="37" spans="2:17" ht="15.75" customHeight="1" x14ac:dyDescent="0.15">
      <c r="B37" s="519" t="s">
        <v>3500</v>
      </c>
      <c r="C37" s="403"/>
      <c r="D37" s="403"/>
      <c r="E37" s="403"/>
      <c r="F37" s="403"/>
      <c r="G37" s="403"/>
      <c r="H37" s="403"/>
      <c r="I37" s="403"/>
      <c r="J37" s="403"/>
      <c r="K37" s="403"/>
      <c r="L37" s="403"/>
      <c r="M37" s="518"/>
      <c r="N37" s="820"/>
      <c r="O37" s="821"/>
      <c r="P37" s="821"/>
      <c r="Q37" s="822"/>
    </row>
    <row r="38" spans="2:17" ht="15.75" customHeight="1" x14ac:dyDescent="0.15">
      <c r="B38" s="914" t="s">
        <v>3490</v>
      </c>
      <c r="C38" s="403"/>
      <c r="D38" s="403" t="s">
        <v>3502</v>
      </c>
      <c r="E38" s="403" t="s">
        <v>3506</v>
      </c>
      <c r="F38" s="403"/>
      <c r="G38" s="916"/>
      <c r="H38" s="917" t="s">
        <v>3505</v>
      </c>
      <c r="I38" s="916"/>
      <c r="J38" s="917" t="s">
        <v>3507</v>
      </c>
      <c r="K38" s="916"/>
      <c r="L38" s="403" t="s">
        <v>3509</v>
      </c>
      <c r="M38" s="518"/>
      <c r="N38" s="820"/>
      <c r="O38" s="821"/>
      <c r="P38" s="821"/>
      <c r="Q38" s="822"/>
    </row>
    <row r="39" spans="2:17" ht="15.75" customHeight="1" x14ac:dyDescent="0.15">
      <c r="B39" s="914" t="s">
        <v>3490</v>
      </c>
      <c r="C39" s="403"/>
      <c r="D39" s="403" t="s">
        <v>3501</v>
      </c>
      <c r="E39" s="403" t="s">
        <v>3510</v>
      </c>
      <c r="F39" s="403"/>
      <c r="G39" s="403"/>
      <c r="H39" s="403"/>
      <c r="I39" s="403"/>
      <c r="J39" s="403"/>
      <c r="K39" s="403"/>
      <c r="L39" s="403"/>
      <c r="M39" s="518"/>
      <c r="N39" s="820"/>
      <c r="O39" s="821"/>
      <c r="P39" s="821"/>
      <c r="Q39" s="822"/>
    </row>
    <row r="40" spans="2:17" ht="15.75" customHeight="1" x14ac:dyDescent="0.15">
      <c r="B40" s="918" t="s">
        <v>3490</v>
      </c>
      <c r="C40" s="355"/>
      <c r="D40" s="355" t="s">
        <v>3503</v>
      </c>
      <c r="E40" s="355"/>
      <c r="F40" s="355"/>
      <c r="G40" s="355"/>
      <c r="H40" s="355"/>
      <c r="I40" s="355"/>
      <c r="J40" s="355"/>
      <c r="K40" s="355"/>
      <c r="L40" s="355"/>
      <c r="M40" s="356"/>
      <c r="N40" s="820"/>
      <c r="O40" s="821"/>
      <c r="P40" s="821"/>
      <c r="Q40" s="822"/>
    </row>
    <row r="41" spans="2:17" ht="15.75" customHeight="1" x14ac:dyDescent="0.15">
      <c r="B41" s="362"/>
      <c r="C41" s="357" t="s">
        <v>3511</v>
      </c>
      <c r="D41" s="915"/>
      <c r="E41" s="915"/>
      <c r="F41" s="915"/>
      <c r="G41" s="915"/>
      <c r="H41" s="915"/>
      <c r="I41" s="915"/>
      <c r="J41" s="915"/>
      <c r="K41" s="915"/>
      <c r="L41" s="357" t="s">
        <v>3513</v>
      </c>
      <c r="M41" s="520"/>
      <c r="N41" s="820"/>
      <c r="O41" s="821"/>
      <c r="P41" s="821"/>
      <c r="Q41" s="822"/>
    </row>
    <row r="42" spans="2:17" ht="15.75" customHeight="1" x14ac:dyDescent="0.15">
      <c r="B42" s="355"/>
      <c r="C42" s="355"/>
      <c r="D42" s="355"/>
      <c r="E42" s="355"/>
      <c r="F42" s="355"/>
      <c r="G42" s="355"/>
      <c r="H42" s="355"/>
      <c r="I42" s="355"/>
      <c r="J42" s="355"/>
      <c r="K42" s="355"/>
      <c r="L42" s="355"/>
      <c r="M42" s="355"/>
    </row>
    <row r="43" spans="2:17" ht="15.75" customHeight="1" x14ac:dyDescent="0.15"/>
    <row r="44" spans="2:17" ht="15.75" customHeight="1" x14ac:dyDescent="0.15"/>
    <row r="45" spans="2:17" ht="15.75" customHeight="1" x14ac:dyDescent="0.15"/>
    <row r="46" spans="2:17" ht="15.75" customHeight="1" x14ac:dyDescent="0.15"/>
    <row r="47" spans="2:17" ht="15.75" customHeight="1" x14ac:dyDescent="0.15"/>
    <row r="48" spans="2:17" ht="15.75" customHeight="1" x14ac:dyDescent="0.15"/>
    <row r="49" s="350" customFormat="1" ht="15.75" customHeight="1" x14ac:dyDescent="0.15"/>
    <row r="50" s="350" customFormat="1" ht="15.75" customHeight="1" x14ac:dyDescent="0.15"/>
    <row r="51" s="350" customFormat="1" ht="15.75" customHeight="1" x14ac:dyDescent="0.15"/>
    <row r="52" s="350" customFormat="1" ht="15.75" customHeight="1" x14ac:dyDescent="0.15"/>
    <row r="53" s="350" customFormat="1" ht="15.75" customHeight="1" x14ac:dyDescent="0.15"/>
    <row r="54" s="350" customFormat="1" ht="15.75" customHeight="1" x14ac:dyDescent="0.15"/>
    <row r="55" s="350" customFormat="1" ht="15.75" customHeight="1" x14ac:dyDescent="0.15"/>
    <row r="56" s="350" customFormat="1" ht="15.75" customHeight="1" x14ac:dyDescent="0.15"/>
    <row r="57" s="350" customFormat="1" ht="15.75" customHeight="1" x14ac:dyDescent="0.15"/>
    <row r="58" s="350" customFormat="1" ht="15.75" customHeight="1" x14ac:dyDescent="0.15"/>
    <row r="59" s="350" customFormat="1" ht="15.75" customHeight="1" x14ac:dyDescent="0.15"/>
    <row r="60" s="350" customFormat="1" ht="15.75" customHeight="1" x14ac:dyDescent="0.15"/>
    <row r="61" s="350" customFormat="1" ht="15.75" customHeight="1" x14ac:dyDescent="0.15"/>
    <row r="62" s="350" customFormat="1" ht="15.75" customHeight="1" x14ac:dyDescent="0.15"/>
    <row r="63" s="350" customFormat="1" ht="15.75" customHeight="1" x14ac:dyDescent="0.15"/>
    <row r="64" s="350" customFormat="1" ht="15.75" customHeight="1" x14ac:dyDescent="0.15"/>
  </sheetData>
  <sheetProtection algorithmName="SHA-512" hashValue="/lXNuCJYFm3RCo5GuB0WzthypIu5ahgUAbXxKFKDedWk2SnJMQ5KyrlcTDQD1supxoldIMGX1L6sbFB0xAU2VQ==" saltValue="mHtU32FrPLhyv0UwzCxStw==" spinCount="100000" sheet="1" objects="1" scenarios="1"/>
  <mergeCells count="16">
    <mergeCell ref="A3:U3"/>
    <mergeCell ref="I5:L5"/>
    <mergeCell ref="F31:U31"/>
    <mergeCell ref="N36:Q36"/>
    <mergeCell ref="N37:Q41"/>
    <mergeCell ref="A21:U21"/>
    <mergeCell ref="M9:U9"/>
    <mergeCell ref="M10:U10"/>
    <mergeCell ref="B36:M36"/>
    <mergeCell ref="D41:K41"/>
    <mergeCell ref="F30:U30"/>
    <mergeCell ref="F9:L9"/>
    <mergeCell ref="F10:L10"/>
    <mergeCell ref="F11:L11"/>
    <mergeCell ref="M11:U11"/>
    <mergeCell ref="M12:U12"/>
  </mergeCells>
  <phoneticPr fontId="31"/>
  <dataValidations count="1">
    <dataValidation type="list" allowBlank="1" showInputMessage="1" showErrorMessage="1" sqref="B24:B26 B28:B29" xr:uid="{58D2D5F1-D12E-4FBB-976E-C4C24DA0F80F}">
      <formula1>"□,■"</formula1>
    </dataValidation>
  </dataValidations>
  <pageMargins left="0.9055118110236221" right="0.9055118110236221" top="0.74803149606299213" bottom="0.74803149606299213" header="0.31496062992125984" footer="0.31496062992125984"/>
  <pageSetup paperSize="9" scale="97"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L52"/>
  <sheetViews>
    <sheetView showGridLines="0" showZeros="0" zoomScaleNormal="100" zoomScaleSheetLayoutView="100" workbookViewId="0"/>
  </sheetViews>
  <sheetFormatPr defaultColWidth="9" defaultRowHeight="15" customHeight="1" x14ac:dyDescent="0.15"/>
  <cols>
    <col min="1" max="29" width="2.625" style="330" customWidth="1"/>
    <col min="30" max="35" width="2.625" customWidth="1"/>
    <col min="36" max="38" width="3.625" hidden="1" customWidth="1"/>
    <col min="39" max="46" width="3.625" customWidth="1"/>
    <col min="257" max="291" width="2.625" customWidth="1"/>
    <col min="292" max="294" width="0" hidden="1" customWidth="1"/>
    <col min="295" max="302" width="3.625" customWidth="1"/>
    <col min="513" max="547" width="2.625" customWidth="1"/>
    <col min="548" max="550" width="0" hidden="1" customWidth="1"/>
    <col min="551" max="558" width="3.625" customWidth="1"/>
    <col min="769" max="803" width="2.625" customWidth="1"/>
    <col min="804" max="806" width="0" hidden="1" customWidth="1"/>
    <col min="807" max="814" width="3.625" customWidth="1"/>
    <col min="1025" max="1059" width="2.625" customWidth="1"/>
    <col min="1060" max="1062" width="0" hidden="1" customWidth="1"/>
    <col min="1063" max="1070" width="3.625" customWidth="1"/>
    <col min="1281" max="1315" width="2.625" customWidth="1"/>
    <col min="1316" max="1318" width="0" hidden="1" customWidth="1"/>
    <col min="1319" max="1326" width="3.625" customWidth="1"/>
    <col min="1537" max="1571" width="2.625" customWidth="1"/>
    <col min="1572" max="1574" width="0" hidden="1" customWidth="1"/>
    <col min="1575" max="1582" width="3.625" customWidth="1"/>
    <col min="1793" max="1827" width="2.625" customWidth="1"/>
    <col min="1828" max="1830" width="0" hidden="1" customWidth="1"/>
    <col min="1831" max="1838" width="3.625" customWidth="1"/>
    <col min="2049" max="2083" width="2.625" customWidth="1"/>
    <col min="2084" max="2086" width="0" hidden="1" customWidth="1"/>
    <col min="2087" max="2094" width="3.625" customWidth="1"/>
    <col min="2305" max="2339" width="2.625" customWidth="1"/>
    <col min="2340" max="2342" width="0" hidden="1" customWidth="1"/>
    <col min="2343" max="2350" width="3.625" customWidth="1"/>
    <col min="2561" max="2595" width="2.625" customWidth="1"/>
    <col min="2596" max="2598" width="0" hidden="1" customWidth="1"/>
    <col min="2599" max="2606" width="3.625" customWidth="1"/>
    <col min="2817" max="2851" width="2.625" customWidth="1"/>
    <col min="2852" max="2854" width="0" hidden="1" customWidth="1"/>
    <col min="2855" max="2862" width="3.625" customWidth="1"/>
    <col min="3073" max="3107" width="2.625" customWidth="1"/>
    <col min="3108" max="3110" width="0" hidden="1" customWidth="1"/>
    <col min="3111" max="3118" width="3.625" customWidth="1"/>
    <col min="3329" max="3363" width="2.625" customWidth="1"/>
    <col min="3364" max="3366" width="0" hidden="1" customWidth="1"/>
    <col min="3367" max="3374" width="3.625" customWidth="1"/>
    <col min="3585" max="3619" width="2.625" customWidth="1"/>
    <col min="3620" max="3622" width="0" hidden="1" customWidth="1"/>
    <col min="3623" max="3630" width="3.625" customWidth="1"/>
    <col min="3841" max="3875" width="2.625" customWidth="1"/>
    <col min="3876" max="3878" width="0" hidden="1" customWidth="1"/>
    <col min="3879" max="3886" width="3.625" customWidth="1"/>
    <col min="4097" max="4131" width="2.625" customWidth="1"/>
    <col min="4132" max="4134" width="0" hidden="1" customWidth="1"/>
    <col min="4135" max="4142" width="3.625" customWidth="1"/>
    <col min="4353" max="4387" width="2.625" customWidth="1"/>
    <col min="4388" max="4390" width="0" hidden="1" customWidth="1"/>
    <col min="4391" max="4398" width="3.625" customWidth="1"/>
    <col min="4609" max="4643" width="2.625" customWidth="1"/>
    <col min="4644" max="4646" width="0" hidden="1" customWidth="1"/>
    <col min="4647" max="4654" width="3.625" customWidth="1"/>
    <col min="4865" max="4899" width="2.625" customWidth="1"/>
    <col min="4900" max="4902" width="0" hidden="1" customWidth="1"/>
    <col min="4903" max="4910" width="3.625" customWidth="1"/>
    <col min="5121" max="5155" width="2.625" customWidth="1"/>
    <col min="5156" max="5158" width="0" hidden="1" customWidth="1"/>
    <col min="5159" max="5166" width="3.625" customWidth="1"/>
    <col min="5377" max="5411" width="2.625" customWidth="1"/>
    <col min="5412" max="5414" width="0" hidden="1" customWidth="1"/>
    <col min="5415" max="5422" width="3.625" customWidth="1"/>
    <col min="5633" max="5667" width="2.625" customWidth="1"/>
    <col min="5668" max="5670" width="0" hidden="1" customWidth="1"/>
    <col min="5671" max="5678" width="3.625" customWidth="1"/>
    <col min="5889" max="5923" width="2.625" customWidth="1"/>
    <col min="5924" max="5926" width="0" hidden="1" customWidth="1"/>
    <col min="5927" max="5934" width="3.625" customWidth="1"/>
    <col min="6145" max="6179" width="2.625" customWidth="1"/>
    <col min="6180" max="6182" width="0" hidden="1" customWidth="1"/>
    <col min="6183" max="6190" width="3.625" customWidth="1"/>
    <col min="6401" max="6435" width="2.625" customWidth="1"/>
    <col min="6436" max="6438" width="0" hidden="1" customWidth="1"/>
    <col min="6439" max="6446" width="3.625" customWidth="1"/>
    <col min="6657" max="6691" width="2.625" customWidth="1"/>
    <col min="6692" max="6694" width="0" hidden="1" customWidth="1"/>
    <col min="6695" max="6702" width="3.625" customWidth="1"/>
    <col min="6913" max="6947" width="2.625" customWidth="1"/>
    <col min="6948" max="6950" width="0" hidden="1" customWidth="1"/>
    <col min="6951" max="6958" width="3.625" customWidth="1"/>
    <col min="7169" max="7203" width="2.625" customWidth="1"/>
    <col min="7204" max="7206" width="0" hidden="1" customWidth="1"/>
    <col min="7207" max="7214" width="3.625" customWidth="1"/>
    <col min="7425" max="7459" width="2.625" customWidth="1"/>
    <col min="7460" max="7462" width="0" hidden="1" customWidth="1"/>
    <col min="7463" max="7470" width="3.625" customWidth="1"/>
    <col min="7681" max="7715" width="2.625" customWidth="1"/>
    <col min="7716" max="7718" width="0" hidden="1" customWidth="1"/>
    <col min="7719" max="7726" width="3.625" customWidth="1"/>
    <col min="7937" max="7971" width="2.625" customWidth="1"/>
    <col min="7972" max="7974" width="0" hidden="1" customWidth="1"/>
    <col min="7975" max="7982" width="3.625" customWidth="1"/>
    <col min="8193" max="8227" width="2.625" customWidth="1"/>
    <col min="8228" max="8230" width="0" hidden="1" customWidth="1"/>
    <col min="8231" max="8238" width="3.625" customWidth="1"/>
    <col min="8449" max="8483" width="2.625" customWidth="1"/>
    <col min="8484" max="8486" width="0" hidden="1" customWidth="1"/>
    <col min="8487" max="8494" width="3.625" customWidth="1"/>
    <col min="8705" max="8739" width="2.625" customWidth="1"/>
    <col min="8740" max="8742" width="0" hidden="1" customWidth="1"/>
    <col min="8743" max="8750" width="3.625" customWidth="1"/>
    <col min="8961" max="8995" width="2.625" customWidth="1"/>
    <col min="8996" max="8998" width="0" hidden="1" customWidth="1"/>
    <col min="8999" max="9006" width="3.625" customWidth="1"/>
    <col min="9217" max="9251" width="2.625" customWidth="1"/>
    <col min="9252" max="9254" width="0" hidden="1" customWidth="1"/>
    <col min="9255" max="9262" width="3.625" customWidth="1"/>
    <col min="9473" max="9507" width="2.625" customWidth="1"/>
    <col min="9508" max="9510" width="0" hidden="1" customWidth="1"/>
    <col min="9511" max="9518" width="3.625" customWidth="1"/>
    <col min="9729" max="9763" width="2.625" customWidth="1"/>
    <col min="9764" max="9766" width="0" hidden="1" customWidth="1"/>
    <col min="9767" max="9774" width="3.625" customWidth="1"/>
    <col min="9985" max="10019" width="2.625" customWidth="1"/>
    <col min="10020" max="10022" width="0" hidden="1" customWidth="1"/>
    <col min="10023" max="10030" width="3.625" customWidth="1"/>
    <col min="10241" max="10275" width="2.625" customWidth="1"/>
    <col min="10276" max="10278" width="0" hidden="1" customWidth="1"/>
    <col min="10279" max="10286" width="3.625" customWidth="1"/>
    <col min="10497" max="10531" width="2.625" customWidth="1"/>
    <col min="10532" max="10534" width="0" hidden="1" customWidth="1"/>
    <col min="10535" max="10542" width="3.625" customWidth="1"/>
    <col min="10753" max="10787" width="2.625" customWidth="1"/>
    <col min="10788" max="10790" width="0" hidden="1" customWidth="1"/>
    <col min="10791" max="10798" width="3.625" customWidth="1"/>
    <col min="11009" max="11043" width="2.625" customWidth="1"/>
    <col min="11044" max="11046" width="0" hidden="1" customWidth="1"/>
    <col min="11047" max="11054" width="3.625" customWidth="1"/>
    <col min="11265" max="11299" width="2.625" customWidth="1"/>
    <col min="11300" max="11302" width="0" hidden="1" customWidth="1"/>
    <col min="11303" max="11310" width="3.625" customWidth="1"/>
    <col min="11521" max="11555" width="2.625" customWidth="1"/>
    <col min="11556" max="11558" width="0" hidden="1" customWidth="1"/>
    <col min="11559" max="11566" width="3.625" customWidth="1"/>
    <col min="11777" max="11811" width="2.625" customWidth="1"/>
    <col min="11812" max="11814" width="0" hidden="1" customWidth="1"/>
    <col min="11815" max="11822" width="3.625" customWidth="1"/>
    <col min="12033" max="12067" width="2.625" customWidth="1"/>
    <col min="12068" max="12070" width="0" hidden="1" customWidth="1"/>
    <col min="12071" max="12078" width="3.625" customWidth="1"/>
    <col min="12289" max="12323" width="2.625" customWidth="1"/>
    <col min="12324" max="12326" width="0" hidden="1" customWidth="1"/>
    <col min="12327" max="12334" width="3.625" customWidth="1"/>
    <col min="12545" max="12579" width="2.625" customWidth="1"/>
    <col min="12580" max="12582" width="0" hidden="1" customWidth="1"/>
    <col min="12583" max="12590" width="3.625" customWidth="1"/>
    <col min="12801" max="12835" width="2.625" customWidth="1"/>
    <col min="12836" max="12838" width="0" hidden="1" customWidth="1"/>
    <col min="12839" max="12846" width="3.625" customWidth="1"/>
    <col min="13057" max="13091" width="2.625" customWidth="1"/>
    <col min="13092" max="13094" width="0" hidden="1" customWidth="1"/>
    <col min="13095" max="13102" width="3.625" customWidth="1"/>
    <col min="13313" max="13347" width="2.625" customWidth="1"/>
    <col min="13348" max="13350" width="0" hidden="1" customWidth="1"/>
    <col min="13351" max="13358" width="3.625" customWidth="1"/>
    <col min="13569" max="13603" width="2.625" customWidth="1"/>
    <col min="13604" max="13606" width="0" hidden="1" customWidth="1"/>
    <col min="13607" max="13614" width="3.625" customWidth="1"/>
    <col min="13825" max="13859" width="2.625" customWidth="1"/>
    <col min="13860" max="13862" width="0" hidden="1" customWidth="1"/>
    <col min="13863" max="13870" width="3.625" customWidth="1"/>
    <col min="14081" max="14115" width="2.625" customWidth="1"/>
    <col min="14116" max="14118" width="0" hidden="1" customWidth="1"/>
    <col min="14119" max="14126" width="3.625" customWidth="1"/>
    <col min="14337" max="14371" width="2.625" customWidth="1"/>
    <col min="14372" max="14374" width="0" hidden="1" customWidth="1"/>
    <col min="14375" max="14382" width="3.625" customWidth="1"/>
    <col min="14593" max="14627" width="2.625" customWidth="1"/>
    <col min="14628" max="14630" width="0" hidden="1" customWidth="1"/>
    <col min="14631" max="14638" width="3.625" customWidth="1"/>
    <col min="14849" max="14883" width="2.625" customWidth="1"/>
    <col min="14884" max="14886" width="0" hidden="1" customWidth="1"/>
    <col min="14887" max="14894" width="3.625" customWidth="1"/>
    <col min="15105" max="15139" width="2.625" customWidth="1"/>
    <col min="15140" max="15142" width="0" hidden="1" customWidth="1"/>
    <col min="15143" max="15150" width="3.625" customWidth="1"/>
    <col min="15361" max="15395" width="2.625" customWidth="1"/>
    <col min="15396" max="15398" width="0" hidden="1" customWidth="1"/>
    <col min="15399" max="15406" width="3.625" customWidth="1"/>
    <col min="15617" max="15651" width="2.625" customWidth="1"/>
    <col min="15652" max="15654" width="0" hidden="1" customWidth="1"/>
    <col min="15655" max="15662" width="3.625" customWidth="1"/>
    <col min="15873" max="15907" width="2.625" customWidth="1"/>
    <col min="15908" max="15910" width="0" hidden="1" customWidth="1"/>
    <col min="15911" max="15918" width="3.625" customWidth="1"/>
    <col min="16129" max="16163" width="2.625" customWidth="1"/>
    <col min="16164" max="16166" width="0" hidden="1" customWidth="1"/>
    <col min="16167" max="16174" width="3.625" customWidth="1"/>
  </cols>
  <sheetData>
    <row r="1" spans="1:35" s="366" customFormat="1" ht="15" customHeight="1" x14ac:dyDescent="0.15">
      <c r="A1" s="829" t="s">
        <v>71</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row>
    <row r="2" spans="1:35" s="366" customFormat="1" ht="15" customHeight="1" x14ac:dyDescent="0.15">
      <c r="A2" s="365"/>
      <c r="B2" s="366" t="s">
        <v>3112</v>
      </c>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row>
    <row r="3" spans="1:35" s="366" customFormat="1" ht="51.95" customHeight="1" x14ac:dyDescent="0.15">
      <c r="A3" s="830"/>
      <c r="B3" s="830"/>
      <c r="C3" s="830"/>
      <c r="D3" s="830"/>
      <c r="E3" s="830"/>
      <c r="F3" s="830"/>
      <c r="G3" s="830"/>
      <c r="H3" s="831" t="s">
        <v>3113</v>
      </c>
      <c r="I3" s="831"/>
      <c r="J3" s="831"/>
      <c r="K3" s="831"/>
      <c r="L3" s="831" t="s">
        <v>3114</v>
      </c>
      <c r="M3" s="831"/>
      <c r="N3" s="831"/>
      <c r="O3" s="831"/>
      <c r="P3" s="832"/>
      <c r="Q3" s="831" t="s">
        <v>3115</v>
      </c>
      <c r="R3" s="831"/>
      <c r="S3" s="831"/>
      <c r="T3" s="832"/>
      <c r="U3" s="831" t="s">
        <v>3116</v>
      </c>
      <c r="V3" s="831"/>
      <c r="W3" s="831"/>
      <c r="X3" s="831"/>
      <c r="Y3" s="832"/>
      <c r="Z3" s="831" t="s">
        <v>3117</v>
      </c>
      <c r="AA3" s="831"/>
      <c r="AB3" s="831"/>
      <c r="AC3" s="831"/>
      <c r="AD3" s="832"/>
      <c r="AE3" s="833" t="s">
        <v>3118</v>
      </c>
      <c r="AF3" s="833"/>
      <c r="AG3" s="833"/>
      <c r="AH3" s="833"/>
      <c r="AI3" s="833"/>
    </row>
    <row r="4" spans="1:35" s="366" customFormat="1" ht="66.95" customHeight="1" x14ac:dyDescent="0.15">
      <c r="A4" s="844" t="s">
        <v>3119</v>
      </c>
      <c r="B4" s="845"/>
      <c r="C4" s="845"/>
      <c r="D4" s="845"/>
      <c r="E4" s="845"/>
      <c r="F4" s="845"/>
      <c r="G4" s="845"/>
      <c r="H4" s="839"/>
      <c r="I4" s="840"/>
      <c r="J4" s="840"/>
      <c r="K4" s="840"/>
      <c r="L4" s="839"/>
      <c r="M4" s="840"/>
      <c r="N4" s="840"/>
      <c r="O4" s="840"/>
      <c r="P4" s="841"/>
      <c r="Q4" s="839"/>
      <c r="R4" s="840"/>
      <c r="S4" s="840"/>
      <c r="T4" s="841"/>
      <c r="U4" s="842"/>
      <c r="V4" s="843"/>
      <c r="W4" s="843"/>
      <c r="X4" s="843"/>
      <c r="Y4" s="843"/>
      <c r="Z4" s="839"/>
      <c r="AA4" s="840"/>
      <c r="AB4" s="840"/>
      <c r="AC4" s="840"/>
      <c r="AD4" s="841"/>
      <c r="AE4" s="834"/>
      <c r="AF4" s="835"/>
      <c r="AG4" s="835"/>
      <c r="AH4" s="835"/>
      <c r="AI4" s="836"/>
    </row>
    <row r="5" spans="1:35" s="366" customFormat="1" ht="66.95" customHeight="1" x14ac:dyDescent="0.15">
      <c r="A5" s="837" t="s">
        <v>3120</v>
      </c>
      <c r="B5" s="838"/>
      <c r="C5" s="838"/>
      <c r="D5" s="838"/>
      <c r="E5" s="838"/>
      <c r="F5" s="838"/>
      <c r="G5" s="838"/>
      <c r="H5" s="839"/>
      <c r="I5" s="840"/>
      <c r="J5" s="840"/>
      <c r="K5" s="840"/>
      <c r="L5" s="839"/>
      <c r="M5" s="840"/>
      <c r="N5" s="840"/>
      <c r="O5" s="840"/>
      <c r="P5" s="841"/>
      <c r="Q5" s="839"/>
      <c r="R5" s="840"/>
      <c r="S5" s="840"/>
      <c r="T5" s="841"/>
      <c r="U5" s="842"/>
      <c r="V5" s="843"/>
      <c r="W5" s="843"/>
      <c r="X5" s="843"/>
      <c r="Y5" s="843"/>
      <c r="Z5" s="839"/>
      <c r="AA5" s="840"/>
      <c r="AB5" s="840"/>
      <c r="AC5" s="840"/>
      <c r="AD5" s="841"/>
      <c r="AE5" s="834"/>
      <c r="AF5" s="835"/>
      <c r="AG5" s="835"/>
      <c r="AH5" s="835"/>
      <c r="AI5" s="836"/>
    </row>
    <row r="6" spans="1:35" s="366" customFormat="1" ht="66.95" customHeight="1" x14ac:dyDescent="0.15">
      <c r="A6" s="837" t="s">
        <v>3121</v>
      </c>
      <c r="B6" s="838"/>
      <c r="C6" s="838"/>
      <c r="D6" s="838"/>
      <c r="E6" s="838"/>
      <c r="F6" s="838"/>
      <c r="G6" s="846"/>
      <c r="H6" s="839"/>
      <c r="I6" s="840"/>
      <c r="J6" s="840"/>
      <c r="K6" s="840"/>
      <c r="L6" s="839"/>
      <c r="M6" s="840"/>
      <c r="N6" s="840"/>
      <c r="O6" s="840"/>
      <c r="P6" s="841"/>
      <c r="Q6" s="839"/>
      <c r="R6" s="840"/>
      <c r="S6" s="840"/>
      <c r="T6" s="841"/>
      <c r="U6" s="842"/>
      <c r="V6" s="843"/>
      <c r="W6" s="843"/>
      <c r="X6" s="843"/>
      <c r="Y6" s="843"/>
      <c r="Z6" s="839"/>
      <c r="AA6" s="840"/>
      <c r="AB6" s="840"/>
      <c r="AC6" s="840"/>
      <c r="AD6" s="841"/>
      <c r="AE6" s="834"/>
      <c r="AF6" s="835"/>
      <c r="AG6" s="835"/>
      <c r="AH6" s="835"/>
      <c r="AI6" s="836"/>
    </row>
    <row r="7" spans="1:35" s="366" customFormat="1" ht="66.95" customHeight="1" x14ac:dyDescent="0.15">
      <c r="A7" s="837" t="s">
        <v>3122</v>
      </c>
      <c r="B7" s="838"/>
      <c r="C7" s="838"/>
      <c r="D7" s="838"/>
      <c r="E7" s="838"/>
      <c r="F7" s="838"/>
      <c r="G7" s="846"/>
      <c r="H7" s="839"/>
      <c r="I7" s="840"/>
      <c r="J7" s="840"/>
      <c r="K7" s="840"/>
      <c r="L7" s="839"/>
      <c r="M7" s="840"/>
      <c r="N7" s="840"/>
      <c r="O7" s="840"/>
      <c r="P7" s="841"/>
      <c r="Q7" s="839"/>
      <c r="R7" s="840"/>
      <c r="S7" s="840"/>
      <c r="T7" s="841"/>
      <c r="U7" s="842"/>
      <c r="V7" s="843"/>
      <c r="W7" s="843"/>
      <c r="X7" s="843"/>
      <c r="Y7" s="843"/>
      <c r="Z7" s="839"/>
      <c r="AA7" s="840"/>
      <c r="AB7" s="840"/>
      <c r="AC7" s="840"/>
      <c r="AD7" s="841"/>
      <c r="AE7" s="834"/>
      <c r="AF7" s="835"/>
      <c r="AG7" s="835"/>
      <c r="AH7" s="835"/>
      <c r="AI7" s="836"/>
    </row>
    <row r="8" spans="1:35" s="366" customFormat="1" ht="66.95" customHeight="1" x14ac:dyDescent="0.15">
      <c r="A8" s="837" t="s">
        <v>3123</v>
      </c>
      <c r="B8" s="838"/>
      <c r="C8" s="838"/>
      <c r="D8" s="838"/>
      <c r="E8" s="838"/>
      <c r="F8" s="838"/>
      <c r="G8" s="846"/>
      <c r="H8" s="839"/>
      <c r="I8" s="840"/>
      <c r="J8" s="840"/>
      <c r="K8" s="840"/>
      <c r="L8" s="839"/>
      <c r="M8" s="840"/>
      <c r="N8" s="840"/>
      <c r="O8" s="840"/>
      <c r="P8" s="841"/>
      <c r="Q8" s="839"/>
      <c r="R8" s="840"/>
      <c r="S8" s="840"/>
      <c r="T8" s="841"/>
      <c r="U8" s="842"/>
      <c r="V8" s="843"/>
      <c r="W8" s="843"/>
      <c r="X8" s="843"/>
      <c r="Y8" s="843"/>
      <c r="Z8" s="839"/>
      <c r="AA8" s="840"/>
      <c r="AB8" s="840"/>
      <c r="AC8" s="840"/>
      <c r="AD8" s="841"/>
      <c r="AE8" s="834"/>
      <c r="AF8" s="835"/>
      <c r="AG8" s="835"/>
      <c r="AH8" s="835"/>
      <c r="AI8" s="836"/>
    </row>
    <row r="9" spans="1:35" s="366" customFormat="1" ht="66.95" customHeight="1" x14ac:dyDescent="0.15">
      <c r="A9" s="847" t="s">
        <v>3124</v>
      </c>
      <c r="B9" s="848"/>
      <c r="C9" s="848"/>
      <c r="D9" s="848"/>
      <c r="E9" s="848"/>
      <c r="F9" s="848"/>
      <c r="G9" s="849"/>
      <c r="H9" s="839"/>
      <c r="I9" s="840"/>
      <c r="J9" s="840"/>
      <c r="K9" s="840"/>
      <c r="L9" s="839"/>
      <c r="M9" s="840"/>
      <c r="N9" s="840"/>
      <c r="O9" s="840"/>
      <c r="P9" s="841"/>
      <c r="Q9" s="839"/>
      <c r="R9" s="840"/>
      <c r="S9" s="840"/>
      <c r="T9" s="841"/>
      <c r="U9" s="842"/>
      <c r="V9" s="843"/>
      <c r="W9" s="843"/>
      <c r="X9" s="843"/>
      <c r="Y9" s="843"/>
      <c r="Z9" s="839"/>
      <c r="AA9" s="840"/>
      <c r="AB9" s="840"/>
      <c r="AC9" s="840"/>
      <c r="AD9" s="841"/>
      <c r="AE9" s="834"/>
      <c r="AF9" s="835"/>
      <c r="AG9" s="835"/>
      <c r="AH9" s="835"/>
      <c r="AI9" s="836"/>
    </row>
    <row r="10" spans="1:35" s="366" customFormat="1" ht="66.95" customHeight="1" x14ac:dyDescent="0.15">
      <c r="A10" s="847" t="s">
        <v>3125</v>
      </c>
      <c r="B10" s="848"/>
      <c r="C10" s="848"/>
      <c r="D10" s="848"/>
      <c r="E10" s="848"/>
      <c r="F10" s="848"/>
      <c r="G10" s="849"/>
      <c r="H10" s="839"/>
      <c r="I10" s="840"/>
      <c r="J10" s="840"/>
      <c r="K10" s="840"/>
      <c r="L10" s="839"/>
      <c r="M10" s="840"/>
      <c r="N10" s="840"/>
      <c r="O10" s="840"/>
      <c r="P10" s="841"/>
      <c r="Q10" s="839"/>
      <c r="R10" s="840"/>
      <c r="S10" s="840"/>
      <c r="T10" s="841"/>
      <c r="U10" s="842"/>
      <c r="V10" s="843"/>
      <c r="W10" s="843"/>
      <c r="X10" s="843"/>
      <c r="Y10" s="843"/>
      <c r="Z10" s="839"/>
      <c r="AA10" s="840"/>
      <c r="AB10" s="840"/>
      <c r="AC10" s="840"/>
      <c r="AD10" s="841"/>
      <c r="AE10" s="834"/>
      <c r="AF10" s="835"/>
      <c r="AG10" s="835"/>
      <c r="AH10" s="835"/>
      <c r="AI10" s="836"/>
    </row>
    <row r="11" spans="1:35" s="366" customFormat="1" ht="66.95" customHeight="1" x14ac:dyDescent="0.15">
      <c r="A11" s="847" t="s">
        <v>3126</v>
      </c>
      <c r="B11" s="848"/>
      <c r="C11" s="848"/>
      <c r="D11" s="848"/>
      <c r="E11" s="848"/>
      <c r="F11" s="848"/>
      <c r="G11" s="849"/>
      <c r="H11" s="839"/>
      <c r="I11" s="840"/>
      <c r="J11" s="840"/>
      <c r="K11" s="840"/>
      <c r="L11" s="839"/>
      <c r="M11" s="840"/>
      <c r="N11" s="840"/>
      <c r="O11" s="840"/>
      <c r="P11" s="841"/>
      <c r="Q11" s="839"/>
      <c r="R11" s="840"/>
      <c r="S11" s="840"/>
      <c r="T11" s="841"/>
      <c r="U11" s="842"/>
      <c r="V11" s="843"/>
      <c r="W11" s="843"/>
      <c r="X11" s="843"/>
      <c r="Y11" s="843"/>
      <c r="Z11" s="839"/>
      <c r="AA11" s="840"/>
      <c r="AB11" s="840"/>
      <c r="AC11" s="840"/>
      <c r="AD11" s="841"/>
      <c r="AE11" s="834"/>
      <c r="AF11" s="835"/>
      <c r="AG11" s="835"/>
      <c r="AH11" s="835"/>
      <c r="AI11" s="836"/>
    </row>
    <row r="12" spans="1:35" s="366" customFormat="1" ht="66.95" customHeight="1" x14ac:dyDescent="0.15">
      <c r="A12" s="847" t="s">
        <v>3127</v>
      </c>
      <c r="B12" s="848"/>
      <c r="C12" s="848"/>
      <c r="D12" s="848"/>
      <c r="E12" s="848"/>
      <c r="F12" s="848"/>
      <c r="G12" s="849"/>
      <c r="H12" s="839"/>
      <c r="I12" s="840"/>
      <c r="J12" s="840"/>
      <c r="K12" s="840"/>
      <c r="L12" s="839"/>
      <c r="M12" s="840"/>
      <c r="N12" s="840"/>
      <c r="O12" s="840"/>
      <c r="P12" s="841"/>
      <c r="Q12" s="839"/>
      <c r="R12" s="840"/>
      <c r="S12" s="840"/>
      <c r="T12" s="841"/>
      <c r="U12" s="842"/>
      <c r="V12" s="843"/>
      <c r="W12" s="843"/>
      <c r="X12" s="843"/>
      <c r="Y12" s="843"/>
      <c r="Z12" s="839"/>
      <c r="AA12" s="840"/>
      <c r="AB12" s="840"/>
      <c r="AC12" s="840"/>
      <c r="AD12" s="841"/>
      <c r="AE12" s="834"/>
      <c r="AF12" s="835"/>
      <c r="AG12" s="835"/>
      <c r="AH12" s="835"/>
      <c r="AI12" s="836"/>
    </row>
    <row r="13" spans="1:35" s="366" customFormat="1" ht="66.95" customHeight="1" x14ac:dyDescent="0.15">
      <c r="A13" s="847" t="s">
        <v>3128</v>
      </c>
      <c r="B13" s="848"/>
      <c r="C13" s="848"/>
      <c r="D13" s="848"/>
      <c r="E13" s="848"/>
      <c r="F13" s="848"/>
      <c r="G13" s="849"/>
      <c r="H13" s="839"/>
      <c r="I13" s="840"/>
      <c r="J13" s="840"/>
      <c r="K13" s="840"/>
      <c r="L13" s="839"/>
      <c r="M13" s="840"/>
      <c r="N13" s="840"/>
      <c r="O13" s="840"/>
      <c r="P13" s="841"/>
      <c r="Q13" s="839"/>
      <c r="R13" s="840"/>
      <c r="S13" s="840"/>
      <c r="T13" s="841"/>
      <c r="U13" s="842"/>
      <c r="V13" s="843"/>
      <c r="W13" s="843"/>
      <c r="X13" s="843"/>
      <c r="Y13" s="843"/>
      <c r="Z13" s="839"/>
      <c r="AA13" s="840"/>
      <c r="AB13" s="840"/>
      <c r="AC13" s="840"/>
      <c r="AD13" s="841"/>
      <c r="AE13" s="834"/>
      <c r="AF13" s="835"/>
      <c r="AG13" s="835"/>
      <c r="AH13" s="835"/>
      <c r="AI13" s="836"/>
    </row>
    <row r="14" spans="1:35" s="366" customFormat="1" ht="66.95" customHeight="1" x14ac:dyDescent="0.15">
      <c r="A14" s="850" t="s">
        <v>3129</v>
      </c>
      <c r="B14" s="851"/>
      <c r="C14" s="851"/>
      <c r="D14" s="851"/>
      <c r="E14" s="851"/>
      <c r="F14" s="851"/>
      <c r="G14" s="852"/>
      <c r="H14" s="834"/>
      <c r="I14" s="835"/>
      <c r="J14" s="835"/>
      <c r="K14" s="835"/>
      <c r="L14" s="835"/>
      <c r="M14" s="835"/>
      <c r="N14" s="835"/>
      <c r="O14" s="835"/>
      <c r="P14" s="835"/>
      <c r="Q14" s="835"/>
      <c r="R14" s="835"/>
      <c r="S14" s="835"/>
      <c r="T14" s="835"/>
      <c r="U14" s="835"/>
      <c r="V14" s="835"/>
      <c r="W14" s="835"/>
      <c r="X14" s="835"/>
      <c r="Y14" s="835"/>
      <c r="Z14" s="835"/>
      <c r="AA14" s="835"/>
      <c r="AB14" s="835"/>
      <c r="AC14" s="835"/>
      <c r="AD14" s="835"/>
      <c r="AE14" s="835"/>
      <c r="AF14" s="835"/>
      <c r="AG14" s="835"/>
      <c r="AH14" s="835"/>
      <c r="AI14" s="836"/>
    </row>
    <row r="15" spans="1:35" s="10" customFormat="1" ht="15" customHeight="1" x14ac:dyDescent="0.15">
      <c r="A15" s="366"/>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row>
    <row r="16" spans="1:35" s="10" customFormat="1" ht="15" customHeight="1" x14ac:dyDescent="0.15">
      <c r="A16" s="366"/>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row>
    <row r="17" spans="1:29" s="10" customFormat="1" ht="15" customHeight="1" x14ac:dyDescent="0.15">
      <c r="A17" s="366"/>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row>
    <row r="18" spans="1:29" s="10" customFormat="1" ht="15" customHeight="1" x14ac:dyDescent="0.15">
      <c r="A18" s="366"/>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row>
    <row r="19" spans="1:29" s="10" customFormat="1" ht="15" customHeight="1" x14ac:dyDescent="0.15">
      <c r="A19" s="366"/>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row>
    <row r="20" spans="1:29" s="10" customFormat="1" ht="15" customHeight="1" x14ac:dyDescent="0.15">
      <c r="A20" s="366"/>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row>
    <row r="21" spans="1:29" s="10" customFormat="1" ht="15" customHeight="1" x14ac:dyDescent="0.15">
      <c r="A21" s="366"/>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row>
    <row r="22" spans="1:29" s="10" customFormat="1" ht="15" customHeight="1" x14ac:dyDescent="0.15">
      <c r="A22" s="366"/>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row>
    <row r="23" spans="1:29" s="10" customFormat="1" ht="15" customHeight="1" x14ac:dyDescent="0.15">
      <c r="A23" s="366"/>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row>
    <row r="24" spans="1:29" s="10" customFormat="1" ht="15" customHeight="1" x14ac:dyDescent="0.15">
      <c r="A24" s="366"/>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row>
    <row r="25" spans="1:29" s="10" customFormat="1" ht="15" customHeight="1" x14ac:dyDescent="0.15">
      <c r="A25" s="366"/>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row>
    <row r="26" spans="1:29" s="10" customFormat="1" ht="15" customHeight="1" x14ac:dyDescent="0.15">
      <c r="A26" s="366"/>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row>
    <row r="27" spans="1:29" s="10" customFormat="1" ht="15" customHeight="1" x14ac:dyDescent="0.15">
      <c r="A27" s="366"/>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row>
    <row r="28" spans="1:29" s="10" customFormat="1" ht="15" customHeight="1" x14ac:dyDescent="0.15">
      <c r="A28" s="366"/>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row>
    <row r="29" spans="1:29" s="10" customFormat="1" ht="15" customHeight="1" x14ac:dyDescent="0.15">
      <c r="A29" s="366"/>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row>
    <row r="30" spans="1:29" s="10" customFormat="1" ht="15" customHeight="1" x14ac:dyDescent="0.15">
      <c r="A30" s="366"/>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row>
    <row r="31" spans="1:29" s="10" customFormat="1" ht="15" customHeight="1" x14ac:dyDescent="0.15">
      <c r="A31" s="366"/>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row>
    <row r="32" spans="1:29" s="10" customFormat="1" ht="15" customHeight="1" x14ac:dyDescent="0.15">
      <c r="A32" s="36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row>
    <row r="33" spans="1:29" s="10" customFormat="1" ht="15" customHeight="1" x14ac:dyDescent="0.15">
      <c r="A33" s="36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row>
    <row r="34" spans="1:29" s="10" customFormat="1" ht="15" customHeight="1" x14ac:dyDescent="0.15">
      <c r="A34" s="366"/>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row>
    <row r="35" spans="1:29" s="10" customFormat="1" ht="15" customHeight="1" x14ac:dyDescent="0.15">
      <c r="A35" s="366"/>
      <c r="B35" s="366"/>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row>
    <row r="36" spans="1:29" s="10" customFormat="1" ht="15" customHeight="1" x14ac:dyDescent="0.15">
      <c r="A36" s="366"/>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row>
    <row r="37" spans="1:29" s="10" customFormat="1" ht="15" customHeight="1" x14ac:dyDescent="0.15">
      <c r="A37" s="366"/>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row>
    <row r="38" spans="1:29" s="10" customFormat="1" ht="15" customHeight="1" x14ac:dyDescent="0.15">
      <c r="A38" s="366"/>
      <c r="B38" s="366"/>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row>
    <row r="39" spans="1:29" s="10" customFormat="1" ht="15" customHeight="1" x14ac:dyDescent="0.15">
      <c r="A39" s="366"/>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row>
    <row r="40" spans="1:29" s="10" customFormat="1" ht="15" customHeight="1" x14ac:dyDescent="0.15">
      <c r="A40" s="366"/>
      <c r="B40" s="366"/>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row>
    <row r="41" spans="1:29" s="10" customFormat="1" ht="15" customHeight="1" x14ac:dyDescent="0.15">
      <c r="A41" s="366"/>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row>
    <row r="42" spans="1:29" s="10" customFormat="1" ht="15" customHeight="1" x14ac:dyDescent="0.15">
      <c r="A42" s="366"/>
      <c r="B42" s="366"/>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row>
    <row r="43" spans="1:29" s="10" customFormat="1" ht="15" customHeight="1" x14ac:dyDescent="0.15">
      <c r="A43" s="366"/>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row>
    <row r="44" spans="1:29" s="10" customFormat="1" ht="15" customHeight="1" x14ac:dyDescent="0.15">
      <c r="A44" s="366"/>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row>
    <row r="45" spans="1:29" s="10" customFormat="1" ht="15" customHeight="1" x14ac:dyDescent="0.15">
      <c r="A45" s="366"/>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row>
    <row r="46" spans="1:29" s="10" customFormat="1" ht="15" customHeight="1" x14ac:dyDescent="0.15">
      <c r="A46" s="366"/>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row>
    <row r="47" spans="1:29" s="10" customFormat="1" ht="15" customHeight="1" x14ac:dyDescent="0.15">
      <c r="A47" s="366"/>
      <c r="B47" s="366"/>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row>
    <row r="48" spans="1:29" s="10" customFormat="1" ht="15" customHeight="1" x14ac:dyDescent="0.15">
      <c r="A48" s="366"/>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row>
    <row r="49" spans="1:29" s="10" customFormat="1" ht="15" customHeight="1" x14ac:dyDescent="0.15">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row>
    <row r="50" spans="1:29" s="10" customFormat="1" ht="15" customHeight="1" x14ac:dyDescent="0.15">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row>
    <row r="51" spans="1:29" s="10" customFormat="1" ht="15" customHeight="1" x14ac:dyDescent="0.15">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row>
    <row r="52" spans="1:29" s="10" customFormat="1" ht="15" customHeight="1" x14ac:dyDescent="0.15">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row>
  </sheetData>
  <sheetProtection formatCells="0" selectLockedCells="1"/>
  <mergeCells count="80">
    <mergeCell ref="A14:G14"/>
    <mergeCell ref="H14:AI14"/>
    <mergeCell ref="AE12:AI12"/>
    <mergeCell ref="A13:G13"/>
    <mergeCell ref="H13:K13"/>
    <mergeCell ref="L13:P13"/>
    <mergeCell ref="Q13:T13"/>
    <mergeCell ref="U13:Y13"/>
    <mergeCell ref="Z13:AD13"/>
    <mergeCell ref="AE13:AI13"/>
    <mergeCell ref="A12:G12"/>
    <mergeCell ref="H12:K12"/>
    <mergeCell ref="L12:P12"/>
    <mergeCell ref="Q12:T12"/>
    <mergeCell ref="U12:Y12"/>
    <mergeCell ref="Z12:AD12"/>
    <mergeCell ref="AE10:AI10"/>
    <mergeCell ref="A11:G11"/>
    <mergeCell ref="H11:K11"/>
    <mergeCell ref="L11:P11"/>
    <mergeCell ref="Q11:T11"/>
    <mergeCell ref="U11:Y11"/>
    <mergeCell ref="Z11:AD11"/>
    <mergeCell ref="AE11:AI11"/>
    <mergeCell ref="A10:G10"/>
    <mergeCell ref="H10:K10"/>
    <mergeCell ref="L10:P10"/>
    <mergeCell ref="Q10:T10"/>
    <mergeCell ref="U10:Y10"/>
    <mergeCell ref="Z10:AD10"/>
    <mergeCell ref="AE8:AI8"/>
    <mergeCell ref="A9:G9"/>
    <mergeCell ref="H9:K9"/>
    <mergeCell ref="L9:P9"/>
    <mergeCell ref="Q9:T9"/>
    <mergeCell ref="U9:Y9"/>
    <mergeCell ref="Z9:AD9"/>
    <mergeCell ref="AE9:AI9"/>
    <mergeCell ref="A8:G8"/>
    <mergeCell ref="H8:K8"/>
    <mergeCell ref="L8:P8"/>
    <mergeCell ref="Q8:T8"/>
    <mergeCell ref="U8:Y8"/>
    <mergeCell ref="Z8:AD8"/>
    <mergeCell ref="AE6:AI6"/>
    <mergeCell ref="A7:G7"/>
    <mergeCell ref="H7:K7"/>
    <mergeCell ref="L7:P7"/>
    <mergeCell ref="Q7:T7"/>
    <mergeCell ref="U7:Y7"/>
    <mergeCell ref="Z7:AD7"/>
    <mergeCell ref="AE7:AI7"/>
    <mergeCell ref="A6:G6"/>
    <mergeCell ref="H6:K6"/>
    <mergeCell ref="L6:P6"/>
    <mergeCell ref="Q6:T6"/>
    <mergeCell ref="U6:Y6"/>
    <mergeCell ref="Z6:AD6"/>
    <mergeCell ref="AE4:AI4"/>
    <mergeCell ref="A5:G5"/>
    <mergeCell ref="H5:K5"/>
    <mergeCell ref="L5:P5"/>
    <mergeCell ref="Q5:T5"/>
    <mergeCell ref="U5:Y5"/>
    <mergeCell ref="Z5:AD5"/>
    <mergeCell ref="AE5:AI5"/>
    <mergeCell ref="A4:G4"/>
    <mergeCell ref="H4:K4"/>
    <mergeCell ref="L4:P4"/>
    <mergeCell ref="Q4:T4"/>
    <mergeCell ref="U4:Y4"/>
    <mergeCell ref="Z4:AD4"/>
    <mergeCell ref="A1:AI1"/>
    <mergeCell ref="A3:G3"/>
    <mergeCell ref="H3:K3"/>
    <mergeCell ref="L3:P3"/>
    <mergeCell ref="Q3:T3"/>
    <mergeCell ref="U3:Y3"/>
    <mergeCell ref="Z3:AD3"/>
    <mergeCell ref="AE3:AI3"/>
  </mergeCells>
  <phoneticPr fontId="32"/>
  <pageMargins left="0.78740157480314965" right="0.39370078740157483" top="0.78740157480314965" bottom="0.59055118110236227" header="0.51181102362204722" footer="0.51181102362204722"/>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152"/>
  <sheetViews>
    <sheetView zoomScaleNormal="100" zoomScaleSheetLayoutView="100" workbookViewId="0"/>
  </sheetViews>
  <sheetFormatPr defaultColWidth="9" defaultRowHeight="11.25" x14ac:dyDescent="0.15"/>
  <cols>
    <col min="1" max="2" width="1.75" style="252" customWidth="1"/>
    <col min="3" max="3" width="2.875" style="252" customWidth="1"/>
    <col min="4" max="4" width="3" style="252" customWidth="1"/>
    <col min="5" max="6" width="3.625" style="252" customWidth="1"/>
    <col min="7" max="7" width="3.25" style="252" customWidth="1"/>
    <col min="8" max="8" width="1.375" style="252" customWidth="1"/>
    <col min="9" max="9" width="2.125" style="252" customWidth="1"/>
    <col min="10" max="11" width="3" style="252" customWidth="1"/>
    <col min="12" max="12" width="2.875" style="252" customWidth="1"/>
    <col min="13" max="13" width="3.5" style="252" customWidth="1"/>
    <col min="14" max="14" width="2.875" style="252" customWidth="1"/>
    <col min="15" max="15" width="3" style="252" customWidth="1"/>
    <col min="16" max="16" width="2.875" style="252" customWidth="1"/>
    <col min="17" max="17" width="2.125" style="252" customWidth="1"/>
    <col min="18" max="19" width="2.75" style="252" customWidth="1"/>
    <col min="20" max="21" width="2.125" style="252" customWidth="1"/>
    <col min="22" max="59" width="2.875" style="252" customWidth="1"/>
    <col min="60" max="256" width="9" style="252" customWidth="1"/>
    <col min="257" max="258" width="1.75" style="252" customWidth="1"/>
    <col min="259" max="259" width="2.875" style="252" customWidth="1"/>
    <col min="260" max="260" width="3" style="252" customWidth="1"/>
    <col min="261" max="262" width="3.625" style="252" customWidth="1"/>
    <col min="263" max="263" width="3.25" style="252" customWidth="1"/>
    <col min="264" max="264" width="1.375" style="252" customWidth="1"/>
    <col min="265" max="265" width="2.125" style="252" customWidth="1"/>
    <col min="266" max="267" width="3" style="252" customWidth="1"/>
    <col min="268" max="270" width="2.875" style="252" customWidth="1"/>
    <col min="271" max="271" width="3" style="252" customWidth="1"/>
    <col min="272" max="272" width="2.875" style="252" customWidth="1"/>
    <col min="273" max="273" width="2.125" style="252" customWidth="1"/>
    <col min="274" max="275" width="2.75" style="252" customWidth="1"/>
    <col min="276" max="277" width="2.125" style="252" customWidth="1"/>
    <col min="278" max="315" width="2.875" style="252" customWidth="1"/>
    <col min="316" max="512" width="9" style="252" customWidth="1"/>
    <col min="513" max="514" width="1.75" style="252" customWidth="1"/>
    <col min="515" max="515" width="2.875" style="252" customWidth="1"/>
    <col min="516" max="516" width="3" style="252" customWidth="1"/>
    <col min="517" max="518" width="3.625" style="252" customWidth="1"/>
    <col min="519" max="519" width="3.25" style="252" customWidth="1"/>
    <col min="520" max="520" width="1.375" style="252" customWidth="1"/>
    <col min="521" max="521" width="2.125" style="252" customWidth="1"/>
    <col min="522" max="523" width="3" style="252" customWidth="1"/>
    <col min="524" max="526" width="2.875" style="252" customWidth="1"/>
    <col min="527" max="527" width="3" style="252" customWidth="1"/>
    <col min="528" max="528" width="2.875" style="252" customWidth="1"/>
    <col min="529" max="529" width="2.125" style="252" customWidth="1"/>
    <col min="530" max="531" width="2.75" style="252" customWidth="1"/>
    <col min="532" max="533" width="2.125" style="252" customWidth="1"/>
    <col min="534" max="571" width="2.875" style="252" customWidth="1"/>
    <col min="572" max="768" width="9" style="252" customWidth="1"/>
    <col min="769" max="770" width="1.75" style="252" customWidth="1"/>
    <col min="771" max="771" width="2.875" style="252" customWidth="1"/>
    <col min="772" max="772" width="3" style="252" customWidth="1"/>
    <col min="773" max="774" width="3.625" style="252" customWidth="1"/>
    <col min="775" max="775" width="3.25" style="252" customWidth="1"/>
    <col min="776" max="776" width="1.375" style="252" customWidth="1"/>
    <col min="777" max="777" width="2.125" style="252" customWidth="1"/>
    <col min="778" max="779" width="3" style="252" customWidth="1"/>
    <col min="780" max="782" width="2.875" style="252" customWidth="1"/>
    <col min="783" max="783" width="3" style="252" customWidth="1"/>
    <col min="784" max="784" width="2.875" style="252" customWidth="1"/>
    <col min="785" max="785" width="2.125" style="252" customWidth="1"/>
    <col min="786" max="787" width="2.75" style="252" customWidth="1"/>
    <col min="788" max="789" width="2.125" style="252" customWidth="1"/>
    <col min="790" max="827" width="2.875" style="252" customWidth="1"/>
    <col min="828" max="1024" width="9" style="252" customWidth="1"/>
    <col min="1025" max="1026" width="1.75" style="252" customWidth="1"/>
    <col min="1027" max="1027" width="2.875" style="252" customWidth="1"/>
    <col min="1028" max="1028" width="3" style="252" customWidth="1"/>
    <col min="1029" max="1030" width="3.625" style="252" customWidth="1"/>
    <col min="1031" max="1031" width="3.25" style="252" customWidth="1"/>
    <col min="1032" max="1032" width="1.375" style="252" customWidth="1"/>
    <col min="1033" max="1033" width="2.125" style="252" customWidth="1"/>
    <col min="1034" max="1035" width="3" style="252" customWidth="1"/>
    <col min="1036" max="1038" width="2.875" style="252" customWidth="1"/>
    <col min="1039" max="1039" width="3" style="252" customWidth="1"/>
    <col min="1040" max="1040" width="2.875" style="252" customWidth="1"/>
    <col min="1041" max="1041" width="2.125" style="252" customWidth="1"/>
    <col min="1042" max="1043" width="2.75" style="252" customWidth="1"/>
    <col min="1044" max="1045" width="2.125" style="252" customWidth="1"/>
    <col min="1046" max="1083" width="2.875" style="252" customWidth="1"/>
    <col min="1084" max="1280" width="9" style="252" customWidth="1"/>
    <col min="1281" max="1282" width="1.75" style="252" customWidth="1"/>
    <col min="1283" max="1283" width="2.875" style="252" customWidth="1"/>
    <col min="1284" max="1284" width="3" style="252" customWidth="1"/>
    <col min="1285" max="1286" width="3.625" style="252" customWidth="1"/>
    <col min="1287" max="1287" width="3.25" style="252" customWidth="1"/>
    <col min="1288" max="1288" width="1.375" style="252" customWidth="1"/>
    <col min="1289" max="1289" width="2.125" style="252" customWidth="1"/>
    <col min="1290" max="1291" width="3" style="252" customWidth="1"/>
    <col min="1292" max="1294" width="2.875" style="252" customWidth="1"/>
    <col min="1295" max="1295" width="3" style="252" customWidth="1"/>
    <col min="1296" max="1296" width="2.875" style="252" customWidth="1"/>
    <col min="1297" max="1297" width="2.125" style="252" customWidth="1"/>
    <col min="1298" max="1299" width="2.75" style="252" customWidth="1"/>
    <col min="1300" max="1301" width="2.125" style="252" customWidth="1"/>
    <col min="1302" max="1339" width="2.875" style="252" customWidth="1"/>
    <col min="1340" max="1536" width="9" style="252" customWidth="1"/>
    <col min="1537" max="1538" width="1.75" style="252" customWidth="1"/>
    <col min="1539" max="1539" width="2.875" style="252" customWidth="1"/>
    <col min="1540" max="1540" width="3" style="252" customWidth="1"/>
    <col min="1541" max="1542" width="3.625" style="252" customWidth="1"/>
    <col min="1543" max="1543" width="3.25" style="252" customWidth="1"/>
    <col min="1544" max="1544" width="1.375" style="252" customWidth="1"/>
    <col min="1545" max="1545" width="2.125" style="252" customWidth="1"/>
    <col min="1546" max="1547" width="3" style="252" customWidth="1"/>
    <col min="1548" max="1550" width="2.875" style="252" customWidth="1"/>
    <col min="1551" max="1551" width="3" style="252" customWidth="1"/>
    <col min="1552" max="1552" width="2.875" style="252" customWidth="1"/>
    <col min="1553" max="1553" width="2.125" style="252" customWidth="1"/>
    <col min="1554" max="1555" width="2.75" style="252" customWidth="1"/>
    <col min="1556" max="1557" width="2.125" style="252" customWidth="1"/>
    <col min="1558" max="1595" width="2.875" style="252" customWidth="1"/>
    <col min="1596" max="1792" width="9" style="252" customWidth="1"/>
    <col min="1793" max="1794" width="1.75" style="252" customWidth="1"/>
    <col min="1795" max="1795" width="2.875" style="252" customWidth="1"/>
    <col min="1796" max="1796" width="3" style="252" customWidth="1"/>
    <col min="1797" max="1798" width="3.625" style="252" customWidth="1"/>
    <col min="1799" max="1799" width="3.25" style="252" customWidth="1"/>
    <col min="1800" max="1800" width="1.375" style="252" customWidth="1"/>
    <col min="1801" max="1801" width="2.125" style="252" customWidth="1"/>
    <col min="1802" max="1803" width="3" style="252" customWidth="1"/>
    <col min="1804" max="1806" width="2.875" style="252" customWidth="1"/>
    <col min="1807" max="1807" width="3" style="252" customWidth="1"/>
    <col min="1808" max="1808" width="2.875" style="252" customWidth="1"/>
    <col min="1809" max="1809" width="2.125" style="252" customWidth="1"/>
    <col min="1810" max="1811" width="2.75" style="252" customWidth="1"/>
    <col min="1812" max="1813" width="2.125" style="252" customWidth="1"/>
    <col min="1814" max="1851" width="2.875" style="252" customWidth="1"/>
    <col min="1852" max="2048" width="9" style="252" customWidth="1"/>
    <col min="2049" max="2050" width="1.75" style="252" customWidth="1"/>
    <col min="2051" max="2051" width="2.875" style="252" customWidth="1"/>
    <col min="2052" max="2052" width="3" style="252" customWidth="1"/>
    <col min="2053" max="2054" width="3.625" style="252" customWidth="1"/>
    <col min="2055" max="2055" width="3.25" style="252" customWidth="1"/>
    <col min="2056" max="2056" width="1.375" style="252" customWidth="1"/>
    <col min="2057" max="2057" width="2.125" style="252" customWidth="1"/>
    <col min="2058" max="2059" width="3" style="252" customWidth="1"/>
    <col min="2060" max="2062" width="2.875" style="252" customWidth="1"/>
    <col min="2063" max="2063" width="3" style="252" customWidth="1"/>
    <col min="2064" max="2064" width="2.875" style="252" customWidth="1"/>
    <col min="2065" max="2065" width="2.125" style="252" customWidth="1"/>
    <col min="2066" max="2067" width="2.75" style="252" customWidth="1"/>
    <col min="2068" max="2069" width="2.125" style="252" customWidth="1"/>
    <col min="2070" max="2107" width="2.875" style="252" customWidth="1"/>
    <col min="2108" max="2304" width="9" style="252" customWidth="1"/>
    <col min="2305" max="2306" width="1.75" style="252" customWidth="1"/>
    <col min="2307" max="2307" width="2.875" style="252" customWidth="1"/>
    <col min="2308" max="2308" width="3" style="252" customWidth="1"/>
    <col min="2309" max="2310" width="3.625" style="252" customWidth="1"/>
    <col min="2311" max="2311" width="3.25" style="252" customWidth="1"/>
    <col min="2312" max="2312" width="1.375" style="252" customWidth="1"/>
    <col min="2313" max="2313" width="2.125" style="252" customWidth="1"/>
    <col min="2314" max="2315" width="3" style="252" customWidth="1"/>
    <col min="2316" max="2318" width="2.875" style="252" customWidth="1"/>
    <col min="2319" max="2319" width="3" style="252" customWidth="1"/>
    <col min="2320" max="2320" width="2.875" style="252" customWidth="1"/>
    <col min="2321" max="2321" width="2.125" style="252" customWidth="1"/>
    <col min="2322" max="2323" width="2.75" style="252" customWidth="1"/>
    <col min="2324" max="2325" width="2.125" style="252" customWidth="1"/>
    <col min="2326" max="2363" width="2.875" style="252" customWidth="1"/>
    <col min="2364" max="2560" width="9" style="252" customWidth="1"/>
    <col min="2561" max="2562" width="1.75" style="252" customWidth="1"/>
    <col min="2563" max="2563" width="2.875" style="252" customWidth="1"/>
    <col min="2564" max="2564" width="3" style="252" customWidth="1"/>
    <col min="2565" max="2566" width="3.625" style="252" customWidth="1"/>
    <col min="2567" max="2567" width="3.25" style="252" customWidth="1"/>
    <col min="2568" max="2568" width="1.375" style="252" customWidth="1"/>
    <col min="2569" max="2569" width="2.125" style="252" customWidth="1"/>
    <col min="2570" max="2571" width="3" style="252" customWidth="1"/>
    <col min="2572" max="2574" width="2.875" style="252" customWidth="1"/>
    <col min="2575" max="2575" width="3" style="252" customWidth="1"/>
    <col min="2576" max="2576" width="2.875" style="252" customWidth="1"/>
    <col min="2577" max="2577" width="2.125" style="252" customWidth="1"/>
    <col min="2578" max="2579" width="2.75" style="252" customWidth="1"/>
    <col min="2580" max="2581" width="2.125" style="252" customWidth="1"/>
    <col min="2582" max="2619" width="2.875" style="252" customWidth="1"/>
    <col min="2620" max="2816" width="9" style="252" customWidth="1"/>
    <col min="2817" max="2818" width="1.75" style="252" customWidth="1"/>
    <col min="2819" max="2819" width="2.875" style="252" customWidth="1"/>
    <col min="2820" max="2820" width="3" style="252" customWidth="1"/>
    <col min="2821" max="2822" width="3.625" style="252" customWidth="1"/>
    <col min="2823" max="2823" width="3.25" style="252" customWidth="1"/>
    <col min="2824" max="2824" width="1.375" style="252" customWidth="1"/>
    <col min="2825" max="2825" width="2.125" style="252" customWidth="1"/>
    <col min="2826" max="2827" width="3" style="252" customWidth="1"/>
    <col min="2828" max="2830" width="2.875" style="252" customWidth="1"/>
    <col min="2831" max="2831" width="3" style="252" customWidth="1"/>
    <col min="2832" max="2832" width="2.875" style="252" customWidth="1"/>
    <col min="2833" max="2833" width="2.125" style="252" customWidth="1"/>
    <col min="2834" max="2835" width="2.75" style="252" customWidth="1"/>
    <col min="2836" max="2837" width="2.125" style="252" customWidth="1"/>
    <col min="2838" max="2875" width="2.875" style="252" customWidth="1"/>
    <col min="2876" max="3072" width="9" style="252" customWidth="1"/>
    <col min="3073" max="3074" width="1.75" style="252" customWidth="1"/>
    <col min="3075" max="3075" width="2.875" style="252" customWidth="1"/>
    <col min="3076" max="3076" width="3" style="252" customWidth="1"/>
    <col min="3077" max="3078" width="3.625" style="252" customWidth="1"/>
    <col min="3079" max="3079" width="3.25" style="252" customWidth="1"/>
    <col min="3080" max="3080" width="1.375" style="252" customWidth="1"/>
    <col min="3081" max="3081" width="2.125" style="252" customWidth="1"/>
    <col min="3082" max="3083" width="3" style="252" customWidth="1"/>
    <col min="3084" max="3086" width="2.875" style="252" customWidth="1"/>
    <col min="3087" max="3087" width="3" style="252" customWidth="1"/>
    <col min="3088" max="3088" width="2.875" style="252" customWidth="1"/>
    <col min="3089" max="3089" width="2.125" style="252" customWidth="1"/>
    <col min="3090" max="3091" width="2.75" style="252" customWidth="1"/>
    <col min="3092" max="3093" width="2.125" style="252" customWidth="1"/>
    <col min="3094" max="3131" width="2.875" style="252" customWidth="1"/>
    <col min="3132" max="3328" width="9" style="252" customWidth="1"/>
    <col min="3329" max="3330" width="1.75" style="252" customWidth="1"/>
    <col min="3331" max="3331" width="2.875" style="252" customWidth="1"/>
    <col min="3332" max="3332" width="3" style="252" customWidth="1"/>
    <col min="3333" max="3334" width="3.625" style="252" customWidth="1"/>
    <col min="3335" max="3335" width="3.25" style="252" customWidth="1"/>
    <col min="3336" max="3336" width="1.375" style="252" customWidth="1"/>
    <col min="3337" max="3337" width="2.125" style="252" customWidth="1"/>
    <col min="3338" max="3339" width="3" style="252" customWidth="1"/>
    <col min="3340" max="3342" width="2.875" style="252" customWidth="1"/>
    <col min="3343" max="3343" width="3" style="252" customWidth="1"/>
    <col min="3344" max="3344" width="2.875" style="252" customWidth="1"/>
    <col min="3345" max="3345" width="2.125" style="252" customWidth="1"/>
    <col min="3346" max="3347" width="2.75" style="252" customWidth="1"/>
    <col min="3348" max="3349" width="2.125" style="252" customWidth="1"/>
    <col min="3350" max="3387" width="2.875" style="252" customWidth="1"/>
    <col min="3388" max="3584" width="9" style="252" customWidth="1"/>
    <col min="3585" max="3586" width="1.75" style="252" customWidth="1"/>
    <col min="3587" max="3587" width="2.875" style="252" customWidth="1"/>
    <col min="3588" max="3588" width="3" style="252" customWidth="1"/>
    <col min="3589" max="3590" width="3.625" style="252" customWidth="1"/>
    <col min="3591" max="3591" width="3.25" style="252" customWidth="1"/>
    <col min="3592" max="3592" width="1.375" style="252" customWidth="1"/>
    <col min="3593" max="3593" width="2.125" style="252" customWidth="1"/>
    <col min="3594" max="3595" width="3" style="252" customWidth="1"/>
    <col min="3596" max="3598" width="2.875" style="252" customWidth="1"/>
    <col min="3599" max="3599" width="3" style="252" customWidth="1"/>
    <col min="3600" max="3600" width="2.875" style="252" customWidth="1"/>
    <col min="3601" max="3601" width="2.125" style="252" customWidth="1"/>
    <col min="3602" max="3603" width="2.75" style="252" customWidth="1"/>
    <col min="3604" max="3605" width="2.125" style="252" customWidth="1"/>
    <col min="3606" max="3643" width="2.875" style="252" customWidth="1"/>
    <col min="3644" max="3840" width="9" style="252" customWidth="1"/>
    <col min="3841" max="3842" width="1.75" style="252" customWidth="1"/>
    <col min="3843" max="3843" width="2.875" style="252" customWidth="1"/>
    <col min="3844" max="3844" width="3" style="252" customWidth="1"/>
    <col min="3845" max="3846" width="3.625" style="252" customWidth="1"/>
    <col min="3847" max="3847" width="3.25" style="252" customWidth="1"/>
    <col min="3848" max="3848" width="1.375" style="252" customWidth="1"/>
    <col min="3849" max="3849" width="2.125" style="252" customWidth="1"/>
    <col min="3850" max="3851" width="3" style="252" customWidth="1"/>
    <col min="3852" max="3854" width="2.875" style="252" customWidth="1"/>
    <col min="3855" max="3855" width="3" style="252" customWidth="1"/>
    <col min="3856" max="3856" width="2.875" style="252" customWidth="1"/>
    <col min="3857" max="3857" width="2.125" style="252" customWidth="1"/>
    <col min="3858" max="3859" width="2.75" style="252" customWidth="1"/>
    <col min="3860" max="3861" width="2.125" style="252" customWidth="1"/>
    <col min="3862" max="3899" width="2.875" style="252" customWidth="1"/>
    <col min="3900" max="4096" width="9" style="252" customWidth="1"/>
    <col min="4097" max="4098" width="1.75" style="252" customWidth="1"/>
    <col min="4099" max="4099" width="2.875" style="252" customWidth="1"/>
    <col min="4100" max="4100" width="3" style="252" customWidth="1"/>
    <col min="4101" max="4102" width="3.625" style="252" customWidth="1"/>
    <col min="4103" max="4103" width="3.25" style="252" customWidth="1"/>
    <col min="4104" max="4104" width="1.375" style="252" customWidth="1"/>
    <col min="4105" max="4105" width="2.125" style="252" customWidth="1"/>
    <col min="4106" max="4107" width="3" style="252" customWidth="1"/>
    <col min="4108" max="4110" width="2.875" style="252" customWidth="1"/>
    <col min="4111" max="4111" width="3" style="252" customWidth="1"/>
    <col min="4112" max="4112" width="2.875" style="252" customWidth="1"/>
    <col min="4113" max="4113" width="2.125" style="252" customWidth="1"/>
    <col min="4114" max="4115" width="2.75" style="252" customWidth="1"/>
    <col min="4116" max="4117" width="2.125" style="252" customWidth="1"/>
    <col min="4118" max="4155" width="2.875" style="252" customWidth="1"/>
    <col min="4156" max="4352" width="9" style="252" customWidth="1"/>
    <col min="4353" max="4354" width="1.75" style="252" customWidth="1"/>
    <col min="4355" max="4355" width="2.875" style="252" customWidth="1"/>
    <col min="4356" max="4356" width="3" style="252" customWidth="1"/>
    <col min="4357" max="4358" width="3.625" style="252" customWidth="1"/>
    <col min="4359" max="4359" width="3.25" style="252" customWidth="1"/>
    <col min="4360" max="4360" width="1.375" style="252" customWidth="1"/>
    <col min="4361" max="4361" width="2.125" style="252" customWidth="1"/>
    <col min="4362" max="4363" width="3" style="252" customWidth="1"/>
    <col min="4364" max="4366" width="2.875" style="252" customWidth="1"/>
    <col min="4367" max="4367" width="3" style="252" customWidth="1"/>
    <col min="4368" max="4368" width="2.875" style="252" customWidth="1"/>
    <col min="4369" max="4369" width="2.125" style="252" customWidth="1"/>
    <col min="4370" max="4371" width="2.75" style="252" customWidth="1"/>
    <col min="4372" max="4373" width="2.125" style="252" customWidth="1"/>
    <col min="4374" max="4411" width="2.875" style="252" customWidth="1"/>
    <col min="4412" max="4608" width="9" style="252" customWidth="1"/>
    <col min="4609" max="4610" width="1.75" style="252" customWidth="1"/>
    <col min="4611" max="4611" width="2.875" style="252" customWidth="1"/>
    <col min="4612" max="4612" width="3" style="252" customWidth="1"/>
    <col min="4613" max="4614" width="3.625" style="252" customWidth="1"/>
    <col min="4615" max="4615" width="3.25" style="252" customWidth="1"/>
    <col min="4616" max="4616" width="1.375" style="252" customWidth="1"/>
    <col min="4617" max="4617" width="2.125" style="252" customWidth="1"/>
    <col min="4618" max="4619" width="3" style="252" customWidth="1"/>
    <col min="4620" max="4622" width="2.875" style="252" customWidth="1"/>
    <col min="4623" max="4623" width="3" style="252" customWidth="1"/>
    <col min="4624" max="4624" width="2.875" style="252" customWidth="1"/>
    <col min="4625" max="4625" width="2.125" style="252" customWidth="1"/>
    <col min="4626" max="4627" width="2.75" style="252" customWidth="1"/>
    <col min="4628" max="4629" width="2.125" style="252" customWidth="1"/>
    <col min="4630" max="4667" width="2.875" style="252" customWidth="1"/>
    <col min="4668" max="4864" width="9" style="252" customWidth="1"/>
    <col min="4865" max="4866" width="1.75" style="252" customWidth="1"/>
    <col min="4867" max="4867" width="2.875" style="252" customWidth="1"/>
    <col min="4868" max="4868" width="3" style="252" customWidth="1"/>
    <col min="4869" max="4870" width="3.625" style="252" customWidth="1"/>
    <col min="4871" max="4871" width="3.25" style="252" customWidth="1"/>
    <col min="4872" max="4872" width="1.375" style="252" customWidth="1"/>
    <col min="4873" max="4873" width="2.125" style="252" customWidth="1"/>
    <col min="4874" max="4875" width="3" style="252" customWidth="1"/>
    <col min="4876" max="4878" width="2.875" style="252" customWidth="1"/>
    <col min="4879" max="4879" width="3" style="252" customWidth="1"/>
    <col min="4880" max="4880" width="2.875" style="252" customWidth="1"/>
    <col min="4881" max="4881" width="2.125" style="252" customWidth="1"/>
    <col min="4882" max="4883" width="2.75" style="252" customWidth="1"/>
    <col min="4884" max="4885" width="2.125" style="252" customWidth="1"/>
    <col min="4886" max="4923" width="2.875" style="252" customWidth="1"/>
    <col min="4924" max="5120" width="9" style="252" customWidth="1"/>
    <col min="5121" max="5122" width="1.75" style="252" customWidth="1"/>
    <col min="5123" max="5123" width="2.875" style="252" customWidth="1"/>
    <col min="5124" max="5124" width="3" style="252" customWidth="1"/>
    <col min="5125" max="5126" width="3.625" style="252" customWidth="1"/>
    <col min="5127" max="5127" width="3.25" style="252" customWidth="1"/>
    <col min="5128" max="5128" width="1.375" style="252" customWidth="1"/>
    <col min="5129" max="5129" width="2.125" style="252" customWidth="1"/>
    <col min="5130" max="5131" width="3" style="252" customWidth="1"/>
    <col min="5132" max="5134" width="2.875" style="252" customWidth="1"/>
    <col min="5135" max="5135" width="3" style="252" customWidth="1"/>
    <col min="5136" max="5136" width="2.875" style="252" customWidth="1"/>
    <col min="5137" max="5137" width="2.125" style="252" customWidth="1"/>
    <col min="5138" max="5139" width="2.75" style="252" customWidth="1"/>
    <col min="5140" max="5141" width="2.125" style="252" customWidth="1"/>
    <col min="5142" max="5179" width="2.875" style="252" customWidth="1"/>
    <col min="5180" max="5376" width="9" style="252" customWidth="1"/>
    <col min="5377" max="5378" width="1.75" style="252" customWidth="1"/>
    <col min="5379" max="5379" width="2.875" style="252" customWidth="1"/>
    <col min="5380" max="5380" width="3" style="252" customWidth="1"/>
    <col min="5381" max="5382" width="3.625" style="252" customWidth="1"/>
    <col min="5383" max="5383" width="3.25" style="252" customWidth="1"/>
    <col min="5384" max="5384" width="1.375" style="252" customWidth="1"/>
    <col min="5385" max="5385" width="2.125" style="252" customWidth="1"/>
    <col min="5386" max="5387" width="3" style="252" customWidth="1"/>
    <col min="5388" max="5390" width="2.875" style="252" customWidth="1"/>
    <col min="5391" max="5391" width="3" style="252" customWidth="1"/>
    <col min="5392" max="5392" width="2.875" style="252" customWidth="1"/>
    <col min="5393" max="5393" width="2.125" style="252" customWidth="1"/>
    <col min="5394" max="5395" width="2.75" style="252" customWidth="1"/>
    <col min="5396" max="5397" width="2.125" style="252" customWidth="1"/>
    <col min="5398" max="5435" width="2.875" style="252" customWidth="1"/>
    <col min="5436" max="5632" width="9" style="252" customWidth="1"/>
    <col min="5633" max="5634" width="1.75" style="252" customWidth="1"/>
    <col min="5635" max="5635" width="2.875" style="252" customWidth="1"/>
    <col min="5636" max="5636" width="3" style="252" customWidth="1"/>
    <col min="5637" max="5638" width="3.625" style="252" customWidth="1"/>
    <col min="5639" max="5639" width="3.25" style="252" customWidth="1"/>
    <col min="5640" max="5640" width="1.375" style="252" customWidth="1"/>
    <col min="5641" max="5641" width="2.125" style="252" customWidth="1"/>
    <col min="5642" max="5643" width="3" style="252" customWidth="1"/>
    <col min="5644" max="5646" width="2.875" style="252" customWidth="1"/>
    <col min="5647" max="5647" width="3" style="252" customWidth="1"/>
    <col min="5648" max="5648" width="2.875" style="252" customWidth="1"/>
    <col min="5649" max="5649" width="2.125" style="252" customWidth="1"/>
    <col min="5650" max="5651" width="2.75" style="252" customWidth="1"/>
    <col min="5652" max="5653" width="2.125" style="252" customWidth="1"/>
    <col min="5654" max="5691" width="2.875" style="252" customWidth="1"/>
    <col min="5692" max="5888" width="9" style="252" customWidth="1"/>
    <col min="5889" max="5890" width="1.75" style="252" customWidth="1"/>
    <col min="5891" max="5891" width="2.875" style="252" customWidth="1"/>
    <col min="5892" max="5892" width="3" style="252" customWidth="1"/>
    <col min="5893" max="5894" width="3.625" style="252" customWidth="1"/>
    <col min="5895" max="5895" width="3.25" style="252" customWidth="1"/>
    <col min="5896" max="5896" width="1.375" style="252" customWidth="1"/>
    <col min="5897" max="5897" width="2.125" style="252" customWidth="1"/>
    <col min="5898" max="5899" width="3" style="252" customWidth="1"/>
    <col min="5900" max="5902" width="2.875" style="252" customWidth="1"/>
    <col min="5903" max="5903" width="3" style="252" customWidth="1"/>
    <col min="5904" max="5904" width="2.875" style="252" customWidth="1"/>
    <col min="5905" max="5905" width="2.125" style="252" customWidth="1"/>
    <col min="5906" max="5907" width="2.75" style="252" customWidth="1"/>
    <col min="5908" max="5909" width="2.125" style="252" customWidth="1"/>
    <col min="5910" max="5947" width="2.875" style="252" customWidth="1"/>
    <col min="5948" max="6144" width="9" style="252" customWidth="1"/>
    <col min="6145" max="6146" width="1.75" style="252" customWidth="1"/>
    <col min="6147" max="6147" width="2.875" style="252" customWidth="1"/>
    <col min="6148" max="6148" width="3" style="252" customWidth="1"/>
    <col min="6149" max="6150" width="3.625" style="252" customWidth="1"/>
    <col min="6151" max="6151" width="3.25" style="252" customWidth="1"/>
    <col min="6152" max="6152" width="1.375" style="252" customWidth="1"/>
    <col min="6153" max="6153" width="2.125" style="252" customWidth="1"/>
    <col min="6154" max="6155" width="3" style="252" customWidth="1"/>
    <col min="6156" max="6158" width="2.875" style="252" customWidth="1"/>
    <col min="6159" max="6159" width="3" style="252" customWidth="1"/>
    <col min="6160" max="6160" width="2.875" style="252" customWidth="1"/>
    <col min="6161" max="6161" width="2.125" style="252" customWidth="1"/>
    <col min="6162" max="6163" width="2.75" style="252" customWidth="1"/>
    <col min="6164" max="6165" width="2.125" style="252" customWidth="1"/>
    <col min="6166" max="6203" width="2.875" style="252" customWidth="1"/>
    <col min="6204" max="6400" width="9" style="252" customWidth="1"/>
    <col min="6401" max="6402" width="1.75" style="252" customWidth="1"/>
    <col min="6403" max="6403" width="2.875" style="252" customWidth="1"/>
    <col min="6404" max="6404" width="3" style="252" customWidth="1"/>
    <col min="6405" max="6406" width="3.625" style="252" customWidth="1"/>
    <col min="6407" max="6407" width="3.25" style="252" customWidth="1"/>
    <col min="6408" max="6408" width="1.375" style="252" customWidth="1"/>
    <col min="6409" max="6409" width="2.125" style="252" customWidth="1"/>
    <col min="6410" max="6411" width="3" style="252" customWidth="1"/>
    <col min="6412" max="6414" width="2.875" style="252" customWidth="1"/>
    <col min="6415" max="6415" width="3" style="252" customWidth="1"/>
    <col min="6416" max="6416" width="2.875" style="252" customWidth="1"/>
    <col min="6417" max="6417" width="2.125" style="252" customWidth="1"/>
    <col min="6418" max="6419" width="2.75" style="252" customWidth="1"/>
    <col min="6420" max="6421" width="2.125" style="252" customWidth="1"/>
    <col min="6422" max="6459" width="2.875" style="252" customWidth="1"/>
    <col min="6460" max="6656" width="9" style="252" customWidth="1"/>
    <col min="6657" max="6658" width="1.75" style="252" customWidth="1"/>
    <col min="6659" max="6659" width="2.875" style="252" customWidth="1"/>
    <col min="6660" max="6660" width="3" style="252" customWidth="1"/>
    <col min="6661" max="6662" width="3.625" style="252" customWidth="1"/>
    <col min="6663" max="6663" width="3.25" style="252" customWidth="1"/>
    <col min="6664" max="6664" width="1.375" style="252" customWidth="1"/>
    <col min="6665" max="6665" width="2.125" style="252" customWidth="1"/>
    <col min="6666" max="6667" width="3" style="252" customWidth="1"/>
    <col min="6668" max="6670" width="2.875" style="252" customWidth="1"/>
    <col min="6671" max="6671" width="3" style="252" customWidth="1"/>
    <col min="6672" max="6672" width="2.875" style="252" customWidth="1"/>
    <col min="6673" max="6673" width="2.125" style="252" customWidth="1"/>
    <col min="6674" max="6675" width="2.75" style="252" customWidth="1"/>
    <col min="6676" max="6677" width="2.125" style="252" customWidth="1"/>
    <col min="6678" max="6715" width="2.875" style="252" customWidth="1"/>
    <col min="6716" max="6912" width="9" style="252" customWidth="1"/>
    <col min="6913" max="6914" width="1.75" style="252" customWidth="1"/>
    <col min="6915" max="6915" width="2.875" style="252" customWidth="1"/>
    <col min="6916" max="6916" width="3" style="252" customWidth="1"/>
    <col min="6917" max="6918" width="3.625" style="252" customWidth="1"/>
    <col min="6919" max="6919" width="3.25" style="252" customWidth="1"/>
    <col min="6920" max="6920" width="1.375" style="252" customWidth="1"/>
    <col min="6921" max="6921" width="2.125" style="252" customWidth="1"/>
    <col min="6922" max="6923" width="3" style="252" customWidth="1"/>
    <col min="6924" max="6926" width="2.875" style="252" customWidth="1"/>
    <col min="6927" max="6927" width="3" style="252" customWidth="1"/>
    <col min="6928" max="6928" width="2.875" style="252" customWidth="1"/>
    <col min="6929" max="6929" width="2.125" style="252" customWidth="1"/>
    <col min="6930" max="6931" width="2.75" style="252" customWidth="1"/>
    <col min="6932" max="6933" width="2.125" style="252" customWidth="1"/>
    <col min="6934" max="6971" width="2.875" style="252" customWidth="1"/>
    <col min="6972" max="7168" width="9" style="252" customWidth="1"/>
    <col min="7169" max="7170" width="1.75" style="252" customWidth="1"/>
    <col min="7171" max="7171" width="2.875" style="252" customWidth="1"/>
    <col min="7172" max="7172" width="3" style="252" customWidth="1"/>
    <col min="7173" max="7174" width="3.625" style="252" customWidth="1"/>
    <col min="7175" max="7175" width="3.25" style="252" customWidth="1"/>
    <col min="7176" max="7176" width="1.375" style="252" customWidth="1"/>
    <col min="7177" max="7177" width="2.125" style="252" customWidth="1"/>
    <col min="7178" max="7179" width="3" style="252" customWidth="1"/>
    <col min="7180" max="7182" width="2.875" style="252" customWidth="1"/>
    <col min="7183" max="7183" width="3" style="252" customWidth="1"/>
    <col min="7184" max="7184" width="2.875" style="252" customWidth="1"/>
    <col min="7185" max="7185" width="2.125" style="252" customWidth="1"/>
    <col min="7186" max="7187" width="2.75" style="252" customWidth="1"/>
    <col min="7188" max="7189" width="2.125" style="252" customWidth="1"/>
    <col min="7190" max="7227" width="2.875" style="252" customWidth="1"/>
    <col min="7228" max="7424" width="9" style="252" customWidth="1"/>
    <col min="7425" max="7426" width="1.75" style="252" customWidth="1"/>
    <col min="7427" max="7427" width="2.875" style="252" customWidth="1"/>
    <col min="7428" max="7428" width="3" style="252" customWidth="1"/>
    <col min="7429" max="7430" width="3.625" style="252" customWidth="1"/>
    <col min="7431" max="7431" width="3.25" style="252" customWidth="1"/>
    <col min="7432" max="7432" width="1.375" style="252" customWidth="1"/>
    <col min="7433" max="7433" width="2.125" style="252" customWidth="1"/>
    <col min="7434" max="7435" width="3" style="252" customWidth="1"/>
    <col min="7436" max="7438" width="2.875" style="252" customWidth="1"/>
    <col min="7439" max="7439" width="3" style="252" customWidth="1"/>
    <col min="7440" max="7440" width="2.875" style="252" customWidth="1"/>
    <col min="7441" max="7441" width="2.125" style="252" customWidth="1"/>
    <col min="7442" max="7443" width="2.75" style="252" customWidth="1"/>
    <col min="7444" max="7445" width="2.125" style="252" customWidth="1"/>
    <col min="7446" max="7483" width="2.875" style="252" customWidth="1"/>
    <col min="7484" max="7680" width="9" style="252" customWidth="1"/>
    <col min="7681" max="7682" width="1.75" style="252" customWidth="1"/>
    <col min="7683" max="7683" width="2.875" style="252" customWidth="1"/>
    <col min="7684" max="7684" width="3" style="252" customWidth="1"/>
    <col min="7685" max="7686" width="3.625" style="252" customWidth="1"/>
    <col min="7687" max="7687" width="3.25" style="252" customWidth="1"/>
    <col min="7688" max="7688" width="1.375" style="252" customWidth="1"/>
    <col min="7689" max="7689" width="2.125" style="252" customWidth="1"/>
    <col min="7690" max="7691" width="3" style="252" customWidth="1"/>
    <col min="7692" max="7694" width="2.875" style="252" customWidth="1"/>
    <col min="7695" max="7695" width="3" style="252" customWidth="1"/>
    <col min="7696" max="7696" width="2.875" style="252" customWidth="1"/>
    <col min="7697" max="7697" width="2.125" style="252" customWidth="1"/>
    <col min="7698" max="7699" width="2.75" style="252" customWidth="1"/>
    <col min="7700" max="7701" width="2.125" style="252" customWidth="1"/>
    <col min="7702" max="7739" width="2.875" style="252" customWidth="1"/>
    <col min="7740" max="7936" width="9" style="252" customWidth="1"/>
    <col min="7937" max="7938" width="1.75" style="252" customWidth="1"/>
    <col min="7939" max="7939" width="2.875" style="252" customWidth="1"/>
    <col min="7940" max="7940" width="3" style="252" customWidth="1"/>
    <col min="7941" max="7942" width="3.625" style="252" customWidth="1"/>
    <col min="7943" max="7943" width="3.25" style="252" customWidth="1"/>
    <col min="7944" max="7944" width="1.375" style="252" customWidth="1"/>
    <col min="7945" max="7945" width="2.125" style="252" customWidth="1"/>
    <col min="7946" max="7947" width="3" style="252" customWidth="1"/>
    <col min="7948" max="7950" width="2.875" style="252" customWidth="1"/>
    <col min="7951" max="7951" width="3" style="252" customWidth="1"/>
    <col min="7952" max="7952" width="2.875" style="252" customWidth="1"/>
    <col min="7953" max="7953" width="2.125" style="252" customWidth="1"/>
    <col min="7954" max="7955" width="2.75" style="252" customWidth="1"/>
    <col min="7956" max="7957" width="2.125" style="252" customWidth="1"/>
    <col min="7958" max="7995" width="2.875" style="252" customWidth="1"/>
    <col min="7996" max="8192" width="9" style="252" customWidth="1"/>
    <col min="8193" max="8194" width="1.75" style="252" customWidth="1"/>
    <col min="8195" max="8195" width="2.875" style="252" customWidth="1"/>
    <col min="8196" max="8196" width="3" style="252" customWidth="1"/>
    <col min="8197" max="8198" width="3.625" style="252" customWidth="1"/>
    <col min="8199" max="8199" width="3.25" style="252" customWidth="1"/>
    <col min="8200" max="8200" width="1.375" style="252" customWidth="1"/>
    <col min="8201" max="8201" width="2.125" style="252" customWidth="1"/>
    <col min="8202" max="8203" width="3" style="252" customWidth="1"/>
    <col min="8204" max="8206" width="2.875" style="252" customWidth="1"/>
    <col min="8207" max="8207" width="3" style="252" customWidth="1"/>
    <col min="8208" max="8208" width="2.875" style="252" customWidth="1"/>
    <col min="8209" max="8209" width="2.125" style="252" customWidth="1"/>
    <col min="8210" max="8211" width="2.75" style="252" customWidth="1"/>
    <col min="8212" max="8213" width="2.125" style="252" customWidth="1"/>
    <col min="8214" max="8251" width="2.875" style="252" customWidth="1"/>
    <col min="8252" max="8448" width="9" style="252" customWidth="1"/>
    <col min="8449" max="8450" width="1.75" style="252" customWidth="1"/>
    <col min="8451" max="8451" width="2.875" style="252" customWidth="1"/>
    <col min="8452" max="8452" width="3" style="252" customWidth="1"/>
    <col min="8453" max="8454" width="3.625" style="252" customWidth="1"/>
    <col min="8455" max="8455" width="3.25" style="252" customWidth="1"/>
    <col min="8456" max="8456" width="1.375" style="252" customWidth="1"/>
    <col min="8457" max="8457" width="2.125" style="252" customWidth="1"/>
    <col min="8458" max="8459" width="3" style="252" customWidth="1"/>
    <col min="8460" max="8462" width="2.875" style="252" customWidth="1"/>
    <col min="8463" max="8463" width="3" style="252" customWidth="1"/>
    <col min="8464" max="8464" width="2.875" style="252" customWidth="1"/>
    <col min="8465" max="8465" width="2.125" style="252" customWidth="1"/>
    <col min="8466" max="8467" width="2.75" style="252" customWidth="1"/>
    <col min="8468" max="8469" width="2.125" style="252" customWidth="1"/>
    <col min="8470" max="8507" width="2.875" style="252" customWidth="1"/>
    <col min="8508" max="8704" width="9" style="252" customWidth="1"/>
    <col min="8705" max="8706" width="1.75" style="252" customWidth="1"/>
    <col min="8707" max="8707" width="2.875" style="252" customWidth="1"/>
    <col min="8708" max="8708" width="3" style="252" customWidth="1"/>
    <col min="8709" max="8710" width="3.625" style="252" customWidth="1"/>
    <col min="8711" max="8711" width="3.25" style="252" customWidth="1"/>
    <col min="8712" max="8712" width="1.375" style="252" customWidth="1"/>
    <col min="8713" max="8713" width="2.125" style="252" customWidth="1"/>
    <col min="8714" max="8715" width="3" style="252" customWidth="1"/>
    <col min="8716" max="8718" width="2.875" style="252" customWidth="1"/>
    <col min="8719" max="8719" width="3" style="252" customWidth="1"/>
    <col min="8720" max="8720" width="2.875" style="252" customWidth="1"/>
    <col min="8721" max="8721" width="2.125" style="252" customWidth="1"/>
    <col min="8722" max="8723" width="2.75" style="252" customWidth="1"/>
    <col min="8724" max="8725" width="2.125" style="252" customWidth="1"/>
    <col min="8726" max="8763" width="2.875" style="252" customWidth="1"/>
    <col min="8764" max="8960" width="9" style="252" customWidth="1"/>
    <col min="8961" max="8962" width="1.75" style="252" customWidth="1"/>
    <col min="8963" max="8963" width="2.875" style="252" customWidth="1"/>
    <col min="8964" max="8964" width="3" style="252" customWidth="1"/>
    <col min="8965" max="8966" width="3.625" style="252" customWidth="1"/>
    <col min="8967" max="8967" width="3.25" style="252" customWidth="1"/>
    <col min="8968" max="8968" width="1.375" style="252" customWidth="1"/>
    <col min="8969" max="8969" width="2.125" style="252" customWidth="1"/>
    <col min="8970" max="8971" width="3" style="252" customWidth="1"/>
    <col min="8972" max="8974" width="2.875" style="252" customWidth="1"/>
    <col min="8975" max="8975" width="3" style="252" customWidth="1"/>
    <col min="8976" max="8976" width="2.875" style="252" customWidth="1"/>
    <col min="8977" max="8977" width="2.125" style="252" customWidth="1"/>
    <col min="8978" max="8979" width="2.75" style="252" customWidth="1"/>
    <col min="8980" max="8981" width="2.125" style="252" customWidth="1"/>
    <col min="8982" max="9019" width="2.875" style="252" customWidth="1"/>
    <col min="9020" max="9216" width="9" style="252" customWidth="1"/>
    <col min="9217" max="9218" width="1.75" style="252" customWidth="1"/>
    <col min="9219" max="9219" width="2.875" style="252" customWidth="1"/>
    <col min="9220" max="9220" width="3" style="252" customWidth="1"/>
    <col min="9221" max="9222" width="3.625" style="252" customWidth="1"/>
    <col min="9223" max="9223" width="3.25" style="252" customWidth="1"/>
    <col min="9224" max="9224" width="1.375" style="252" customWidth="1"/>
    <col min="9225" max="9225" width="2.125" style="252" customWidth="1"/>
    <col min="9226" max="9227" width="3" style="252" customWidth="1"/>
    <col min="9228" max="9230" width="2.875" style="252" customWidth="1"/>
    <col min="9231" max="9231" width="3" style="252" customWidth="1"/>
    <col min="9232" max="9232" width="2.875" style="252" customWidth="1"/>
    <col min="9233" max="9233" width="2.125" style="252" customWidth="1"/>
    <col min="9234" max="9235" width="2.75" style="252" customWidth="1"/>
    <col min="9236" max="9237" width="2.125" style="252" customWidth="1"/>
    <col min="9238" max="9275" width="2.875" style="252" customWidth="1"/>
    <col min="9276" max="9472" width="9" style="252" customWidth="1"/>
    <col min="9473" max="9474" width="1.75" style="252" customWidth="1"/>
    <col min="9475" max="9475" width="2.875" style="252" customWidth="1"/>
    <col min="9476" max="9476" width="3" style="252" customWidth="1"/>
    <col min="9477" max="9478" width="3.625" style="252" customWidth="1"/>
    <col min="9479" max="9479" width="3.25" style="252" customWidth="1"/>
    <col min="9480" max="9480" width="1.375" style="252" customWidth="1"/>
    <col min="9481" max="9481" width="2.125" style="252" customWidth="1"/>
    <col min="9482" max="9483" width="3" style="252" customWidth="1"/>
    <col min="9484" max="9486" width="2.875" style="252" customWidth="1"/>
    <col min="9487" max="9487" width="3" style="252" customWidth="1"/>
    <col min="9488" max="9488" width="2.875" style="252" customWidth="1"/>
    <col min="9489" max="9489" width="2.125" style="252" customWidth="1"/>
    <col min="9490" max="9491" width="2.75" style="252" customWidth="1"/>
    <col min="9492" max="9493" width="2.125" style="252" customWidth="1"/>
    <col min="9494" max="9531" width="2.875" style="252" customWidth="1"/>
    <col min="9532" max="9728" width="9" style="252" customWidth="1"/>
    <col min="9729" max="9730" width="1.75" style="252" customWidth="1"/>
    <col min="9731" max="9731" width="2.875" style="252" customWidth="1"/>
    <col min="9732" max="9732" width="3" style="252" customWidth="1"/>
    <col min="9733" max="9734" width="3.625" style="252" customWidth="1"/>
    <col min="9735" max="9735" width="3.25" style="252" customWidth="1"/>
    <col min="9736" max="9736" width="1.375" style="252" customWidth="1"/>
    <col min="9737" max="9737" width="2.125" style="252" customWidth="1"/>
    <col min="9738" max="9739" width="3" style="252" customWidth="1"/>
    <col min="9740" max="9742" width="2.875" style="252" customWidth="1"/>
    <col min="9743" max="9743" width="3" style="252" customWidth="1"/>
    <col min="9744" max="9744" width="2.875" style="252" customWidth="1"/>
    <col min="9745" max="9745" width="2.125" style="252" customWidth="1"/>
    <col min="9746" max="9747" width="2.75" style="252" customWidth="1"/>
    <col min="9748" max="9749" width="2.125" style="252" customWidth="1"/>
    <col min="9750" max="9787" width="2.875" style="252" customWidth="1"/>
    <col min="9788" max="9984" width="9" style="252" customWidth="1"/>
    <col min="9985" max="9986" width="1.75" style="252" customWidth="1"/>
    <col min="9987" max="9987" width="2.875" style="252" customWidth="1"/>
    <col min="9988" max="9988" width="3" style="252" customWidth="1"/>
    <col min="9989" max="9990" width="3.625" style="252" customWidth="1"/>
    <col min="9991" max="9991" width="3.25" style="252" customWidth="1"/>
    <col min="9992" max="9992" width="1.375" style="252" customWidth="1"/>
    <col min="9993" max="9993" width="2.125" style="252" customWidth="1"/>
    <col min="9994" max="9995" width="3" style="252" customWidth="1"/>
    <col min="9996" max="9998" width="2.875" style="252" customWidth="1"/>
    <col min="9999" max="9999" width="3" style="252" customWidth="1"/>
    <col min="10000" max="10000" width="2.875" style="252" customWidth="1"/>
    <col min="10001" max="10001" width="2.125" style="252" customWidth="1"/>
    <col min="10002" max="10003" width="2.75" style="252" customWidth="1"/>
    <col min="10004" max="10005" width="2.125" style="252" customWidth="1"/>
    <col min="10006" max="10043" width="2.875" style="252" customWidth="1"/>
    <col min="10044" max="10240" width="9" style="252" customWidth="1"/>
    <col min="10241" max="10242" width="1.75" style="252" customWidth="1"/>
    <col min="10243" max="10243" width="2.875" style="252" customWidth="1"/>
    <col min="10244" max="10244" width="3" style="252" customWidth="1"/>
    <col min="10245" max="10246" width="3.625" style="252" customWidth="1"/>
    <col min="10247" max="10247" width="3.25" style="252" customWidth="1"/>
    <col min="10248" max="10248" width="1.375" style="252" customWidth="1"/>
    <col min="10249" max="10249" width="2.125" style="252" customWidth="1"/>
    <col min="10250" max="10251" width="3" style="252" customWidth="1"/>
    <col min="10252" max="10254" width="2.875" style="252" customWidth="1"/>
    <col min="10255" max="10255" width="3" style="252" customWidth="1"/>
    <col min="10256" max="10256" width="2.875" style="252" customWidth="1"/>
    <col min="10257" max="10257" width="2.125" style="252" customWidth="1"/>
    <col min="10258" max="10259" width="2.75" style="252" customWidth="1"/>
    <col min="10260" max="10261" width="2.125" style="252" customWidth="1"/>
    <col min="10262" max="10299" width="2.875" style="252" customWidth="1"/>
    <col min="10300" max="10496" width="9" style="252" customWidth="1"/>
    <col min="10497" max="10498" width="1.75" style="252" customWidth="1"/>
    <col min="10499" max="10499" width="2.875" style="252" customWidth="1"/>
    <col min="10500" max="10500" width="3" style="252" customWidth="1"/>
    <col min="10501" max="10502" width="3.625" style="252" customWidth="1"/>
    <col min="10503" max="10503" width="3.25" style="252" customWidth="1"/>
    <col min="10504" max="10504" width="1.375" style="252" customWidth="1"/>
    <col min="10505" max="10505" width="2.125" style="252" customWidth="1"/>
    <col min="10506" max="10507" width="3" style="252" customWidth="1"/>
    <col min="10508" max="10510" width="2.875" style="252" customWidth="1"/>
    <col min="10511" max="10511" width="3" style="252" customWidth="1"/>
    <col min="10512" max="10512" width="2.875" style="252" customWidth="1"/>
    <col min="10513" max="10513" width="2.125" style="252" customWidth="1"/>
    <col min="10514" max="10515" width="2.75" style="252" customWidth="1"/>
    <col min="10516" max="10517" width="2.125" style="252" customWidth="1"/>
    <col min="10518" max="10555" width="2.875" style="252" customWidth="1"/>
    <col min="10556" max="10752" width="9" style="252" customWidth="1"/>
    <col min="10753" max="10754" width="1.75" style="252" customWidth="1"/>
    <col min="10755" max="10755" width="2.875" style="252" customWidth="1"/>
    <col min="10756" max="10756" width="3" style="252" customWidth="1"/>
    <col min="10757" max="10758" width="3.625" style="252" customWidth="1"/>
    <col min="10759" max="10759" width="3.25" style="252" customWidth="1"/>
    <col min="10760" max="10760" width="1.375" style="252" customWidth="1"/>
    <col min="10761" max="10761" width="2.125" style="252" customWidth="1"/>
    <col min="10762" max="10763" width="3" style="252" customWidth="1"/>
    <col min="10764" max="10766" width="2.875" style="252" customWidth="1"/>
    <col min="10767" max="10767" width="3" style="252" customWidth="1"/>
    <col min="10768" max="10768" width="2.875" style="252" customWidth="1"/>
    <col min="10769" max="10769" width="2.125" style="252" customWidth="1"/>
    <col min="10770" max="10771" width="2.75" style="252" customWidth="1"/>
    <col min="10772" max="10773" width="2.125" style="252" customWidth="1"/>
    <col min="10774" max="10811" width="2.875" style="252" customWidth="1"/>
    <col min="10812" max="11008" width="9" style="252" customWidth="1"/>
    <col min="11009" max="11010" width="1.75" style="252" customWidth="1"/>
    <col min="11011" max="11011" width="2.875" style="252" customWidth="1"/>
    <col min="11012" max="11012" width="3" style="252" customWidth="1"/>
    <col min="11013" max="11014" width="3.625" style="252" customWidth="1"/>
    <col min="11015" max="11015" width="3.25" style="252" customWidth="1"/>
    <col min="11016" max="11016" width="1.375" style="252" customWidth="1"/>
    <col min="11017" max="11017" width="2.125" style="252" customWidth="1"/>
    <col min="11018" max="11019" width="3" style="252" customWidth="1"/>
    <col min="11020" max="11022" width="2.875" style="252" customWidth="1"/>
    <col min="11023" max="11023" width="3" style="252" customWidth="1"/>
    <col min="11024" max="11024" width="2.875" style="252" customWidth="1"/>
    <col min="11025" max="11025" width="2.125" style="252" customWidth="1"/>
    <col min="11026" max="11027" width="2.75" style="252" customWidth="1"/>
    <col min="11028" max="11029" width="2.125" style="252" customWidth="1"/>
    <col min="11030" max="11067" width="2.875" style="252" customWidth="1"/>
    <col min="11068" max="11264" width="9" style="252" customWidth="1"/>
    <col min="11265" max="11266" width="1.75" style="252" customWidth="1"/>
    <col min="11267" max="11267" width="2.875" style="252" customWidth="1"/>
    <col min="11268" max="11268" width="3" style="252" customWidth="1"/>
    <col min="11269" max="11270" width="3.625" style="252" customWidth="1"/>
    <col min="11271" max="11271" width="3.25" style="252" customWidth="1"/>
    <col min="11272" max="11272" width="1.375" style="252" customWidth="1"/>
    <col min="11273" max="11273" width="2.125" style="252" customWidth="1"/>
    <col min="11274" max="11275" width="3" style="252" customWidth="1"/>
    <col min="11276" max="11278" width="2.875" style="252" customWidth="1"/>
    <col min="11279" max="11279" width="3" style="252" customWidth="1"/>
    <col min="11280" max="11280" width="2.875" style="252" customWidth="1"/>
    <col min="11281" max="11281" width="2.125" style="252" customWidth="1"/>
    <col min="11282" max="11283" width="2.75" style="252" customWidth="1"/>
    <col min="11284" max="11285" width="2.125" style="252" customWidth="1"/>
    <col min="11286" max="11323" width="2.875" style="252" customWidth="1"/>
    <col min="11324" max="11520" width="9" style="252" customWidth="1"/>
    <col min="11521" max="11522" width="1.75" style="252" customWidth="1"/>
    <col min="11523" max="11523" width="2.875" style="252" customWidth="1"/>
    <col min="11524" max="11524" width="3" style="252" customWidth="1"/>
    <col min="11525" max="11526" width="3.625" style="252" customWidth="1"/>
    <col min="11527" max="11527" width="3.25" style="252" customWidth="1"/>
    <col min="11528" max="11528" width="1.375" style="252" customWidth="1"/>
    <col min="11529" max="11529" width="2.125" style="252" customWidth="1"/>
    <col min="11530" max="11531" width="3" style="252" customWidth="1"/>
    <col min="11532" max="11534" width="2.875" style="252" customWidth="1"/>
    <col min="11535" max="11535" width="3" style="252" customWidth="1"/>
    <col min="11536" max="11536" width="2.875" style="252" customWidth="1"/>
    <col min="11537" max="11537" width="2.125" style="252" customWidth="1"/>
    <col min="11538" max="11539" width="2.75" style="252" customWidth="1"/>
    <col min="11540" max="11541" width="2.125" style="252" customWidth="1"/>
    <col min="11542" max="11579" width="2.875" style="252" customWidth="1"/>
    <col min="11580" max="11776" width="9" style="252" customWidth="1"/>
    <col min="11777" max="11778" width="1.75" style="252" customWidth="1"/>
    <col min="11779" max="11779" width="2.875" style="252" customWidth="1"/>
    <col min="11780" max="11780" width="3" style="252" customWidth="1"/>
    <col min="11781" max="11782" width="3.625" style="252" customWidth="1"/>
    <col min="11783" max="11783" width="3.25" style="252" customWidth="1"/>
    <col min="11784" max="11784" width="1.375" style="252" customWidth="1"/>
    <col min="11785" max="11785" width="2.125" style="252" customWidth="1"/>
    <col min="11786" max="11787" width="3" style="252" customWidth="1"/>
    <col min="11788" max="11790" width="2.875" style="252" customWidth="1"/>
    <col min="11791" max="11791" width="3" style="252" customWidth="1"/>
    <col min="11792" max="11792" width="2.875" style="252" customWidth="1"/>
    <col min="11793" max="11793" width="2.125" style="252" customWidth="1"/>
    <col min="11794" max="11795" width="2.75" style="252" customWidth="1"/>
    <col min="11796" max="11797" width="2.125" style="252" customWidth="1"/>
    <col min="11798" max="11835" width="2.875" style="252" customWidth="1"/>
    <col min="11836" max="12032" width="9" style="252" customWidth="1"/>
    <col min="12033" max="12034" width="1.75" style="252" customWidth="1"/>
    <col min="12035" max="12035" width="2.875" style="252" customWidth="1"/>
    <col min="12036" max="12036" width="3" style="252" customWidth="1"/>
    <col min="12037" max="12038" width="3.625" style="252" customWidth="1"/>
    <col min="12039" max="12039" width="3.25" style="252" customWidth="1"/>
    <col min="12040" max="12040" width="1.375" style="252" customWidth="1"/>
    <col min="12041" max="12041" width="2.125" style="252" customWidth="1"/>
    <col min="12042" max="12043" width="3" style="252" customWidth="1"/>
    <col min="12044" max="12046" width="2.875" style="252" customWidth="1"/>
    <col min="12047" max="12047" width="3" style="252" customWidth="1"/>
    <col min="12048" max="12048" width="2.875" style="252" customWidth="1"/>
    <col min="12049" max="12049" width="2.125" style="252" customWidth="1"/>
    <col min="12050" max="12051" width="2.75" style="252" customWidth="1"/>
    <col min="12052" max="12053" width="2.125" style="252" customWidth="1"/>
    <col min="12054" max="12091" width="2.875" style="252" customWidth="1"/>
    <col min="12092" max="12288" width="9" style="252" customWidth="1"/>
    <col min="12289" max="12290" width="1.75" style="252" customWidth="1"/>
    <col min="12291" max="12291" width="2.875" style="252" customWidth="1"/>
    <col min="12292" max="12292" width="3" style="252" customWidth="1"/>
    <col min="12293" max="12294" width="3.625" style="252" customWidth="1"/>
    <col min="12295" max="12295" width="3.25" style="252" customWidth="1"/>
    <col min="12296" max="12296" width="1.375" style="252" customWidth="1"/>
    <col min="12297" max="12297" width="2.125" style="252" customWidth="1"/>
    <col min="12298" max="12299" width="3" style="252" customWidth="1"/>
    <col min="12300" max="12302" width="2.875" style="252" customWidth="1"/>
    <col min="12303" max="12303" width="3" style="252" customWidth="1"/>
    <col min="12304" max="12304" width="2.875" style="252" customWidth="1"/>
    <col min="12305" max="12305" width="2.125" style="252" customWidth="1"/>
    <col min="12306" max="12307" width="2.75" style="252" customWidth="1"/>
    <col min="12308" max="12309" width="2.125" style="252" customWidth="1"/>
    <col min="12310" max="12347" width="2.875" style="252" customWidth="1"/>
    <col min="12348" max="12544" width="9" style="252" customWidth="1"/>
    <col min="12545" max="12546" width="1.75" style="252" customWidth="1"/>
    <col min="12547" max="12547" width="2.875" style="252" customWidth="1"/>
    <col min="12548" max="12548" width="3" style="252" customWidth="1"/>
    <col min="12549" max="12550" width="3.625" style="252" customWidth="1"/>
    <col min="12551" max="12551" width="3.25" style="252" customWidth="1"/>
    <col min="12552" max="12552" width="1.375" style="252" customWidth="1"/>
    <col min="12553" max="12553" width="2.125" style="252" customWidth="1"/>
    <col min="12554" max="12555" width="3" style="252" customWidth="1"/>
    <col min="12556" max="12558" width="2.875" style="252" customWidth="1"/>
    <col min="12559" max="12559" width="3" style="252" customWidth="1"/>
    <col min="12560" max="12560" width="2.875" style="252" customWidth="1"/>
    <col min="12561" max="12561" width="2.125" style="252" customWidth="1"/>
    <col min="12562" max="12563" width="2.75" style="252" customWidth="1"/>
    <col min="12564" max="12565" width="2.125" style="252" customWidth="1"/>
    <col min="12566" max="12603" width="2.875" style="252" customWidth="1"/>
    <col min="12604" max="12800" width="9" style="252" customWidth="1"/>
    <col min="12801" max="12802" width="1.75" style="252" customWidth="1"/>
    <col min="12803" max="12803" width="2.875" style="252" customWidth="1"/>
    <col min="12804" max="12804" width="3" style="252" customWidth="1"/>
    <col min="12805" max="12806" width="3.625" style="252" customWidth="1"/>
    <col min="12807" max="12807" width="3.25" style="252" customWidth="1"/>
    <col min="12808" max="12808" width="1.375" style="252" customWidth="1"/>
    <col min="12809" max="12809" width="2.125" style="252" customWidth="1"/>
    <col min="12810" max="12811" width="3" style="252" customWidth="1"/>
    <col min="12812" max="12814" width="2.875" style="252" customWidth="1"/>
    <col min="12815" max="12815" width="3" style="252" customWidth="1"/>
    <col min="12816" max="12816" width="2.875" style="252" customWidth="1"/>
    <col min="12817" max="12817" width="2.125" style="252" customWidth="1"/>
    <col min="12818" max="12819" width="2.75" style="252" customWidth="1"/>
    <col min="12820" max="12821" width="2.125" style="252" customWidth="1"/>
    <col min="12822" max="12859" width="2.875" style="252" customWidth="1"/>
    <col min="12860" max="13056" width="9" style="252" customWidth="1"/>
    <col min="13057" max="13058" width="1.75" style="252" customWidth="1"/>
    <col min="13059" max="13059" width="2.875" style="252" customWidth="1"/>
    <col min="13060" max="13060" width="3" style="252" customWidth="1"/>
    <col min="13061" max="13062" width="3.625" style="252" customWidth="1"/>
    <col min="13063" max="13063" width="3.25" style="252" customWidth="1"/>
    <col min="13064" max="13064" width="1.375" style="252" customWidth="1"/>
    <col min="13065" max="13065" width="2.125" style="252" customWidth="1"/>
    <col min="13066" max="13067" width="3" style="252" customWidth="1"/>
    <col min="13068" max="13070" width="2.875" style="252" customWidth="1"/>
    <col min="13071" max="13071" width="3" style="252" customWidth="1"/>
    <col min="13072" max="13072" width="2.875" style="252" customWidth="1"/>
    <col min="13073" max="13073" width="2.125" style="252" customWidth="1"/>
    <col min="13074" max="13075" width="2.75" style="252" customWidth="1"/>
    <col min="13076" max="13077" width="2.125" style="252" customWidth="1"/>
    <col min="13078" max="13115" width="2.875" style="252" customWidth="1"/>
    <col min="13116" max="13312" width="9" style="252" customWidth="1"/>
    <col min="13313" max="13314" width="1.75" style="252" customWidth="1"/>
    <col min="13315" max="13315" width="2.875" style="252" customWidth="1"/>
    <col min="13316" max="13316" width="3" style="252" customWidth="1"/>
    <col min="13317" max="13318" width="3.625" style="252" customWidth="1"/>
    <col min="13319" max="13319" width="3.25" style="252" customWidth="1"/>
    <col min="13320" max="13320" width="1.375" style="252" customWidth="1"/>
    <col min="13321" max="13321" width="2.125" style="252" customWidth="1"/>
    <col min="13322" max="13323" width="3" style="252" customWidth="1"/>
    <col min="13324" max="13326" width="2.875" style="252" customWidth="1"/>
    <col min="13327" max="13327" width="3" style="252" customWidth="1"/>
    <col min="13328" max="13328" width="2.875" style="252" customWidth="1"/>
    <col min="13329" max="13329" width="2.125" style="252" customWidth="1"/>
    <col min="13330" max="13331" width="2.75" style="252" customWidth="1"/>
    <col min="13332" max="13333" width="2.125" style="252" customWidth="1"/>
    <col min="13334" max="13371" width="2.875" style="252" customWidth="1"/>
    <col min="13372" max="13568" width="9" style="252" customWidth="1"/>
    <col min="13569" max="13570" width="1.75" style="252" customWidth="1"/>
    <col min="13571" max="13571" width="2.875" style="252" customWidth="1"/>
    <col min="13572" max="13572" width="3" style="252" customWidth="1"/>
    <col min="13573" max="13574" width="3.625" style="252" customWidth="1"/>
    <col min="13575" max="13575" width="3.25" style="252" customWidth="1"/>
    <col min="13576" max="13576" width="1.375" style="252" customWidth="1"/>
    <col min="13577" max="13577" width="2.125" style="252" customWidth="1"/>
    <col min="13578" max="13579" width="3" style="252" customWidth="1"/>
    <col min="13580" max="13582" width="2.875" style="252" customWidth="1"/>
    <col min="13583" max="13583" width="3" style="252" customWidth="1"/>
    <col min="13584" max="13584" width="2.875" style="252" customWidth="1"/>
    <col min="13585" max="13585" width="2.125" style="252" customWidth="1"/>
    <col min="13586" max="13587" width="2.75" style="252" customWidth="1"/>
    <col min="13588" max="13589" width="2.125" style="252" customWidth="1"/>
    <col min="13590" max="13627" width="2.875" style="252" customWidth="1"/>
    <col min="13628" max="13824" width="9" style="252" customWidth="1"/>
    <col min="13825" max="13826" width="1.75" style="252" customWidth="1"/>
    <col min="13827" max="13827" width="2.875" style="252" customWidth="1"/>
    <col min="13828" max="13828" width="3" style="252" customWidth="1"/>
    <col min="13829" max="13830" width="3.625" style="252" customWidth="1"/>
    <col min="13831" max="13831" width="3.25" style="252" customWidth="1"/>
    <col min="13832" max="13832" width="1.375" style="252" customWidth="1"/>
    <col min="13833" max="13833" width="2.125" style="252" customWidth="1"/>
    <col min="13834" max="13835" width="3" style="252" customWidth="1"/>
    <col min="13836" max="13838" width="2.875" style="252" customWidth="1"/>
    <col min="13839" max="13839" width="3" style="252" customWidth="1"/>
    <col min="13840" max="13840" width="2.875" style="252" customWidth="1"/>
    <col min="13841" max="13841" width="2.125" style="252" customWidth="1"/>
    <col min="13842" max="13843" width="2.75" style="252" customWidth="1"/>
    <col min="13844" max="13845" width="2.125" style="252" customWidth="1"/>
    <col min="13846" max="13883" width="2.875" style="252" customWidth="1"/>
    <col min="13884" max="14080" width="9" style="252" customWidth="1"/>
    <col min="14081" max="14082" width="1.75" style="252" customWidth="1"/>
    <col min="14083" max="14083" width="2.875" style="252" customWidth="1"/>
    <col min="14084" max="14084" width="3" style="252" customWidth="1"/>
    <col min="14085" max="14086" width="3.625" style="252" customWidth="1"/>
    <col min="14087" max="14087" width="3.25" style="252" customWidth="1"/>
    <col min="14088" max="14088" width="1.375" style="252" customWidth="1"/>
    <col min="14089" max="14089" width="2.125" style="252" customWidth="1"/>
    <col min="14090" max="14091" width="3" style="252" customWidth="1"/>
    <col min="14092" max="14094" width="2.875" style="252" customWidth="1"/>
    <col min="14095" max="14095" width="3" style="252" customWidth="1"/>
    <col min="14096" max="14096" width="2.875" style="252" customWidth="1"/>
    <col min="14097" max="14097" width="2.125" style="252" customWidth="1"/>
    <col min="14098" max="14099" width="2.75" style="252" customWidth="1"/>
    <col min="14100" max="14101" width="2.125" style="252" customWidth="1"/>
    <col min="14102" max="14139" width="2.875" style="252" customWidth="1"/>
    <col min="14140" max="14336" width="9" style="252" customWidth="1"/>
    <col min="14337" max="14338" width="1.75" style="252" customWidth="1"/>
    <col min="14339" max="14339" width="2.875" style="252" customWidth="1"/>
    <col min="14340" max="14340" width="3" style="252" customWidth="1"/>
    <col min="14341" max="14342" width="3.625" style="252" customWidth="1"/>
    <col min="14343" max="14343" width="3.25" style="252" customWidth="1"/>
    <col min="14344" max="14344" width="1.375" style="252" customWidth="1"/>
    <col min="14345" max="14345" width="2.125" style="252" customWidth="1"/>
    <col min="14346" max="14347" width="3" style="252" customWidth="1"/>
    <col min="14348" max="14350" width="2.875" style="252" customWidth="1"/>
    <col min="14351" max="14351" width="3" style="252" customWidth="1"/>
    <col min="14352" max="14352" width="2.875" style="252" customWidth="1"/>
    <col min="14353" max="14353" width="2.125" style="252" customWidth="1"/>
    <col min="14354" max="14355" width="2.75" style="252" customWidth="1"/>
    <col min="14356" max="14357" width="2.125" style="252" customWidth="1"/>
    <col min="14358" max="14395" width="2.875" style="252" customWidth="1"/>
    <col min="14396" max="14592" width="9" style="252" customWidth="1"/>
    <col min="14593" max="14594" width="1.75" style="252" customWidth="1"/>
    <col min="14595" max="14595" width="2.875" style="252" customWidth="1"/>
    <col min="14596" max="14596" width="3" style="252" customWidth="1"/>
    <col min="14597" max="14598" width="3.625" style="252" customWidth="1"/>
    <col min="14599" max="14599" width="3.25" style="252" customWidth="1"/>
    <col min="14600" max="14600" width="1.375" style="252" customWidth="1"/>
    <col min="14601" max="14601" width="2.125" style="252" customWidth="1"/>
    <col min="14602" max="14603" width="3" style="252" customWidth="1"/>
    <col min="14604" max="14606" width="2.875" style="252" customWidth="1"/>
    <col min="14607" max="14607" width="3" style="252" customWidth="1"/>
    <col min="14608" max="14608" width="2.875" style="252" customWidth="1"/>
    <col min="14609" max="14609" width="2.125" style="252" customWidth="1"/>
    <col min="14610" max="14611" width="2.75" style="252" customWidth="1"/>
    <col min="14612" max="14613" width="2.125" style="252" customWidth="1"/>
    <col min="14614" max="14651" width="2.875" style="252" customWidth="1"/>
    <col min="14652" max="14848" width="9" style="252" customWidth="1"/>
    <col min="14849" max="14850" width="1.75" style="252" customWidth="1"/>
    <col min="14851" max="14851" width="2.875" style="252" customWidth="1"/>
    <col min="14852" max="14852" width="3" style="252" customWidth="1"/>
    <col min="14853" max="14854" width="3.625" style="252" customWidth="1"/>
    <col min="14855" max="14855" width="3.25" style="252" customWidth="1"/>
    <col min="14856" max="14856" width="1.375" style="252" customWidth="1"/>
    <col min="14857" max="14857" width="2.125" style="252" customWidth="1"/>
    <col min="14858" max="14859" width="3" style="252" customWidth="1"/>
    <col min="14860" max="14862" width="2.875" style="252" customWidth="1"/>
    <col min="14863" max="14863" width="3" style="252" customWidth="1"/>
    <col min="14864" max="14864" width="2.875" style="252" customWidth="1"/>
    <col min="14865" max="14865" width="2.125" style="252" customWidth="1"/>
    <col min="14866" max="14867" width="2.75" style="252" customWidth="1"/>
    <col min="14868" max="14869" width="2.125" style="252" customWidth="1"/>
    <col min="14870" max="14907" width="2.875" style="252" customWidth="1"/>
    <col min="14908" max="15104" width="9" style="252" customWidth="1"/>
    <col min="15105" max="15106" width="1.75" style="252" customWidth="1"/>
    <col min="15107" max="15107" width="2.875" style="252" customWidth="1"/>
    <col min="15108" max="15108" width="3" style="252" customWidth="1"/>
    <col min="15109" max="15110" width="3.625" style="252" customWidth="1"/>
    <col min="15111" max="15111" width="3.25" style="252" customWidth="1"/>
    <col min="15112" max="15112" width="1.375" style="252" customWidth="1"/>
    <col min="15113" max="15113" width="2.125" style="252" customWidth="1"/>
    <col min="15114" max="15115" width="3" style="252" customWidth="1"/>
    <col min="15116" max="15118" width="2.875" style="252" customWidth="1"/>
    <col min="15119" max="15119" width="3" style="252" customWidth="1"/>
    <col min="15120" max="15120" width="2.875" style="252" customWidth="1"/>
    <col min="15121" max="15121" width="2.125" style="252" customWidth="1"/>
    <col min="15122" max="15123" width="2.75" style="252" customWidth="1"/>
    <col min="15124" max="15125" width="2.125" style="252" customWidth="1"/>
    <col min="15126" max="15163" width="2.875" style="252" customWidth="1"/>
    <col min="15164" max="15360" width="9" style="252" customWidth="1"/>
    <col min="15361" max="15362" width="1.75" style="252" customWidth="1"/>
    <col min="15363" max="15363" width="2.875" style="252" customWidth="1"/>
    <col min="15364" max="15364" width="3" style="252" customWidth="1"/>
    <col min="15365" max="15366" width="3.625" style="252" customWidth="1"/>
    <col min="15367" max="15367" width="3.25" style="252" customWidth="1"/>
    <col min="15368" max="15368" width="1.375" style="252" customWidth="1"/>
    <col min="15369" max="15369" width="2.125" style="252" customWidth="1"/>
    <col min="15370" max="15371" width="3" style="252" customWidth="1"/>
    <col min="15372" max="15374" width="2.875" style="252" customWidth="1"/>
    <col min="15375" max="15375" width="3" style="252" customWidth="1"/>
    <col min="15376" max="15376" width="2.875" style="252" customWidth="1"/>
    <col min="15377" max="15377" width="2.125" style="252" customWidth="1"/>
    <col min="15378" max="15379" width="2.75" style="252" customWidth="1"/>
    <col min="15380" max="15381" width="2.125" style="252" customWidth="1"/>
    <col min="15382" max="15419" width="2.875" style="252" customWidth="1"/>
    <col min="15420" max="15616" width="9" style="252" customWidth="1"/>
    <col min="15617" max="15618" width="1.75" style="252" customWidth="1"/>
    <col min="15619" max="15619" width="2.875" style="252" customWidth="1"/>
    <col min="15620" max="15620" width="3" style="252" customWidth="1"/>
    <col min="15621" max="15622" width="3.625" style="252" customWidth="1"/>
    <col min="15623" max="15623" width="3.25" style="252" customWidth="1"/>
    <col min="15624" max="15624" width="1.375" style="252" customWidth="1"/>
    <col min="15625" max="15625" width="2.125" style="252" customWidth="1"/>
    <col min="15626" max="15627" width="3" style="252" customWidth="1"/>
    <col min="15628" max="15630" width="2.875" style="252" customWidth="1"/>
    <col min="15631" max="15631" width="3" style="252" customWidth="1"/>
    <col min="15632" max="15632" width="2.875" style="252" customWidth="1"/>
    <col min="15633" max="15633" width="2.125" style="252" customWidth="1"/>
    <col min="15634" max="15635" width="2.75" style="252" customWidth="1"/>
    <col min="15636" max="15637" width="2.125" style="252" customWidth="1"/>
    <col min="15638" max="15675" width="2.875" style="252" customWidth="1"/>
    <col min="15676" max="15872" width="9" style="252" customWidth="1"/>
    <col min="15873" max="15874" width="1.75" style="252" customWidth="1"/>
    <col min="15875" max="15875" width="2.875" style="252" customWidth="1"/>
    <col min="15876" max="15876" width="3" style="252" customWidth="1"/>
    <col min="15877" max="15878" width="3.625" style="252" customWidth="1"/>
    <col min="15879" max="15879" width="3.25" style="252" customWidth="1"/>
    <col min="15880" max="15880" width="1.375" style="252" customWidth="1"/>
    <col min="15881" max="15881" width="2.125" style="252" customWidth="1"/>
    <col min="15882" max="15883" width="3" style="252" customWidth="1"/>
    <col min="15884" max="15886" width="2.875" style="252" customWidth="1"/>
    <col min="15887" max="15887" width="3" style="252" customWidth="1"/>
    <col min="15888" max="15888" width="2.875" style="252" customWidth="1"/>
    <col min="15889" max="15889" width="2.125" style="252" customWidth="1"/>
    <col min="15890" max="15891" width="2.75" style="252" customWidth="1"/>
    <col min="15892" max="15893" width="2.125" style="252" customWidth="1"/>
    <col min="15894" max="15931" width="2.875" style="252" customWidth="1"/>
    <col min="15932" max="16128" width="9" style="252" customWidth="1"/>
    <col min="16129" max="16130" width="1.75" style="252" customWidth="1"/>
    <col min="16131" max="16131" width="2.875" style="252" customWidth="1"/>
    <col min="16132" max="16132" width="3" style="252" customWidth="1"/>
    <col min="16133" max="16134" width="3.625" style="252" customWidth="1"/>
    <col min="16135" max="16135" width="3.25" style="252" customWidth="1"/>
    <col min="16136" max="16136" width="1.375" style="252" customWidth="1"/>
    <col min="16137" max="16137" width="2.125" style="252" customWidth="1"/>
    <col min="16138" max="16139" width="3" style="252" customWidth="1"/>
    <col min="16140" max="16142" width="2.875" style="252" customWidth="1"/>
    <col min="16143" max="16143" width="3" style="252" customWidth="1"/>
    <col min="16144" max="16144" width="2.875" style="252" customWidth="1"/>
    <col min="16145" max="16145" width="2.125" style="252" customWidth="1"/>
    <col min="16146" max="16147" width="2.75" style="252" customWidth="1"/>
    <col min="16148" max="16149" width="2.125" style="252" customWidth="1"/>
    <col min="16150" max="16187" width="2.875" style="252" customWidth="1"/>
    <col min="16188" max="16384" width="9" style="252" customWidth="1"/>
  </cols>
  <sheetData>
    <row r="1" spans="1:32" s="249" customFormat="1" ht="30" customHeight="1" x14ac:dyDescent="0.15">
      <c r="A1" s="853" t="s">
        <v>2884</v>
      </c>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row>
    <row r="2" spans="1:32" s="249" customFormat="1" ht="13.5" customHeight="1" x14ac:dyDescent="0.15">
      <c r="O2" s="250"/>
      <c r="P2" s="250"/>
      <c r="Q2" s="250"/>
      <c r="R2" s="250"/>
      <c r="S2" s="250"/>
      <c r="T2" s="250"/>
      <c r="U2" s="250"/>
      <c r="V2" s="250"/>
      <c r="W2" s="250"/>
      <c r="X2" s="251"/>
      <c r="Y2" s="251"/>
      <c r="Z2" s="251"/>
      <c r="AA2" s="251"/>
      <c r="AB2" s="251"/>
      <c r="AC2" s="251"/>
      <c r="AD2" s="251"/>
    </row>
    <row r="3" spans="1:32" ht="15" customHeight="1" x14ac:dyDescent="0.15">
      <c r="C3" s="859" t="s">
        <v>617</v>
      </c>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253"/>
    </row>
    <row r="4" spans="1:32" s="249" customFormat="1" ht="15" customHeight="1" x14ac:dyDescent="0.15">
      <c r="B4" s="254"/>
      <c r="C4" s="255" t="s">
        <v>618</v>
      </c>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row>
    <row r="5" spans="1:32" ht="15" customHeight="1" x14ac:dyDescent="0.15">
      <c r="C5" s="12" t="s">
        <v>13</v>
      </c>
    </row>
    <row r="6" spans="1:32" s="256" customFormat="1" ht="15" customHeight="1" x14ac:dyDescent="0.15">
      <c r="D6" s="257" t="s">
        <v>619</v>
      </c>
      <c r="F6" s="257"/>
      <c r="G6" s="257"/>
      <c r="H6" s="257"/>
      <c r="I6" s="854" t="str">
        <f>cst_wskakunin_owner1_NAME_KANA</f>
        <v>ﾐｷ　ｱｷﾌﾐ</v>
      </c>
      <c r="J6" s="854"/>
      <c r="K6" s="854"/>
      <c r="L6" s="854"/>
      <c r="M6" s="854"/>
      <c r="N6" s="854"/>
      <c r="O6" s="854"/>
      <c r="P6" s="854"/>
      <c r="Q6" s="854"/>
      <c r="R6" s="854"/>
      <c r="S6" s="854"/>
      <c r="T6" s="854"/>
      <c r="U6" s="854"/>
      <c r="V6" s="854"/>
      <c r="W6" s="854"/>
      <c r="X6" s="854"/>
      <c r="Y6" s="854"/>
      <c r="Z6" s="854"/>
      <c r="AA6" s="854"/>
      <c r="AB6" s="854"/>
      <c r="AC6" s="854"/>
      <c r="AD6" s="854"/>
    </row>
    <row r="7" spans="1:32" s="256" customFormat="1" ht="15" customHeight="1" x14ac:dyDescent="0.15">
      <c r="D7" s="257" t="s">
        <v>620</v>
      </c>
      <c r="F7" s="257"/>
      <c r="G7" s="257"/>
      <c r="H7" s="257"/>
      <c r="I7" s="854" t="str">
        <f>cst_wskakunin_owner1_NAME</f>
        <v>三木　章史</v>
      </c>
      <c r="J7" s="854"/>
      <c r="K7" s="854"/>
      <c r="L7" s="854"/>
      <c r="M7" s="854"/>
      <c r="N7" s="854"/>
      <c r="O7" s="854"/>
      <c r="P7" s="854"/>
      <c r="Q7" s="854"/>
      <c r="R7" s="854"/>
      <c r="S7" s="854"/>
      <c r="T7" s="854"/>
      <c r="U7" s="854"/>
      <c r="V7" s="854"/>
      <c r="W7" s="854"/>
      <c r="X7" s="854"/>
      <c r="Y7" s="854"/>
      <c r="Z7" s="854"/>
      <c r="AA7" s="854"/>
      <c r="AB7" s="854"/>
      <c r="AC7" s="854"/>
      <c r="AD7" s="854"/>
    </row>
    <row r="8" spans="1:32" s="256" customFormat="1" ht="15" customHeight="1" x14ac:dyDescent="0.15">
      <c r="D8" s="257" t="s">
        <v>621</v>
      </c>
      <c r="F8" s="257"/>
      <c r="G8" s="257"/>
      <c r="H8" s="257"/>
      <c r="I8" s="854" t="str">
        <f>cst_wskakunin_owner1_ZIP</f>
        <v>763-0094</v>
      </c>
      <c r="J8" s="854"/>
      <c r="K8" s="854"/>
    </row>
    <row r="9" spans="1:32" s="256" customFormat="1" ht="15" customHeight="1" x14ac:dyDescent="0.15">
      <c r="D9" s="256" t="s">
        <v>622</v>
      </c>
      <c r="F9" s="257"/>
      <c r="G9" s="257"/>
      <c r="H9" s="257"/>
      <c r="I9" s="855" t="str">
        <f>cst_wskakunin_owner1__address</f>
        <v>香川県丸亀市三条町1206番地1　キッシングラミーC棟201号</v>
      </c>
      <c r="J9" s="855"/>
      <c r="K9" s="855"/>
      <c r="L9" s="855"/>
      <c r="M9" s="855"/>
      <c r="N9" s="855"/>
      <c r="O9" s="855"/>
      <c r="P9" s="855"/>
      <c r="Q9" s="855"/>
      <c r="R9" s="855"/>
      <c r="S9" s="855"/>
      <c r="T9" s="855"/>
      <c r="U9" s="855"/>
      <c r="V9" s="855"/>
      <c r="W9" s="855"/>
      <c r="X9" s="855"/>
      <c r="Y9" s="855"/>
      <c r="Z9" s="855"/>
      <c r="AA9" s="855"/>
      <c r="AB9" s="855"/>
      <c r="AC9" s="855"/>
      <c r="AD9" s="855"/>
    </row>
    <row r="10" spans="1:32" ht="15" customHeight="1" x14ac:dyDescent="0.15">
      <c r="B10" s="258"/>
      <c r="C10" s="258"/>
      <c r="D10" s="258"/>
      <c r="E10" s="258"/>
      <c r="F10" s="258"/>
      <c r="G10" s="258"/>
      <c r="H10" s="258"/>
      <c r="I10" s="856"/>
      <c r="J10" s="856"/>
      <c r="K10" s="856"/>
      <c r="L10" s="856"/>
      <c r="M10" s="856"/>
      <c r="N10" s="856"/>
      <c r="O10" s="856"/>
      <c r="P10" s="856"/>
      <c r="Q10" s="856"/>
      <c r="R10" s="856"/>
      <c r="S10" s="856"/>
      <c r="T10" s="856"/>
      <c r="U10" s="856"/>
      <c r="V10" s="856"/>
      <c r="W10" s="856"/>
      <c r="X10" s="856"/>
      <c r="Y10" s="856"/>
      <c r="Z10" s="856"/>
      <c r="AA10" s="856"/>
      <c r="AB10" s="856"/>
      <c r="AC10" s="856"/>
      <c r="AD10" s="856"/>
    </row>
    <row r="11" spans="1:32" ht="15" customHeight="1" x14ac:dyDescent="0.15">
      <c r="C11" s="12" t="s">
        <v>81</v>
      </c>
    </row>
    <row r="12" spans="1:32" s="256" customFormat="1" ht="15" customHeight="1" x14ac:dyDescent="0.15">
      <c r="D12" s="257" t="s">
        <v>623</v>
      </c>
      <c r="F12" s="257"/>
      <c r="G12" s="257"/>
      <c r="H12" s="257"/>
      <c r="I12" s="259" t="s">
        <v>2</v>
      </c>
      <c r="J12" s="857" t="str">
        <f>cst_wskakunin_dairi1_SIKAKU</f>
        <v>一級</v>
      </c>
      <c r="K12" s="857"/>
      <c r="L12" s="260" t="s">
        <v>3</v>
      </c>
      <c r="M12" s="256" t="s">
        <v>624</v>
      </c>
      <c r="Q12" s="257" t="s">
        <v>2</v>
      </c>
      <c r="R12" s="857" t="str">
        <f>cst_wskakunin_dairi1_TOUROKU_KIKAN</f>
        <v>国土交通大臣</v>
      </c>
      <c r="S12" s="857"/>
      <c r="T12" s="857"/>
      <c r="U12" s="260" t="s">
        <v>3</v>
      </c>
      <c r="W12" s="259" t="s">
        <v>625</v>
      </c>
      <c r="X12" s="857" t="str">
        <f>cst_wskakunin_dairi1_KENTIKUSI_NO</f>
        <v>380565</v>
      </c>
      <c r="Y12" s="857"/>
      <c r="Z12" s="857"/>
      <c r="AA12" s="259" t="s">
        <v>439</v>
      </c>
    </row>
    <row r="13" spans="1:32" s="256" customFormat="1" ht="15" customHeight="1" x14ac:dyDescent="0.15">
      <c r="D13" s="257" t="s">
        <v>620</v>
      </c>
      <c r="F13" s="257"/>
      <c r="G13" s="257"/>
      <c r="H13" s="257"/>
      <c r="I13" s="854" t="str">
        <f>cst_wskakunin_dairi1_NAME</f>
        <v>武智　且洋</v>
      </c>
      <c r="J13" s="854"/>
      <c r="K13" s="854"/>
      <c r="L13" s="854"/>
      <c r="M13" s="854"/>
      <c r="N13" s="854"/>
      <c r="O13" s="854"/>
      <c r="P13" s="854"/>
      <c r="Q13" s="854"/>
      <c r="R13" s="854"/>
      <c r="S13" s="854"/>
      <c r="T13" s="854"/>
      <c r="U13" s="854"/>
      <c r="V13" s="854"/>
      <c r="W13" s="854"/>
      <c r="X13" s="854"/>
      <c r="Y13" s="854"/>
      <c r="Z13" s="854"/>
      <c r="AA13" s="854"/>
      <c r="AB13" s="854"/>
      <c r="AC13" s="854"/>
      <c r="AD13" s="854"/>
    </row>
    <row r="14" spans="1:32" s="256" customFormat="1" ht="15" customHeight="1" x14ac:dyDescent="0.15">
      <c r="D14" s="257" t="s">
        <v>626</v>
      </c>
      <c r="I14" s="259" t="s">
        <v>2</v>
      </c>
      <c r="J14" s="857" t="str">
        <f>cst_wskakunin_dairi1_JIMU_SIKAKU</f>
        <v>一級</v>
      </c>
      <c r="K14" s="857"/>
      <c r="L14" s="260" t="s">
        <v>3</v>
      </c>
      <c r="M14" s="256" t="s">
        <v>627</v>
      </c>
      <c r="Q14" s="257" t="s">
        <v>2</v>
      </c>
      <c r="R14" s="857" t="str">
        <f>cst_wskakunin_dairi1_JIMU_TOUROKU_KIKAN</f>
        <v>香川県</v>
      </c>
      <c r="S14" s="857"/>
      <c r="T14" s="260" t="s">
        <v>3</v>
      </c>
      <c r="W14" s="259" t="s">
        <v>628</v>
      </c>
      <c r="X14" s="857" t="str">
        <f>cst_wskakunin_dairi1_JIMU_NO</f>
        <v>2347</v>
      </c>
      <c r="Y14" s="857"/>
      <c r="Z14" s="857"/>
      <c r="AA14" s="259" t="s">
        <v>439</v>
      </c>
    </row>
    <row r="15" spans="1:32" s="256" customFormat="1" ht="15" customHeight="1" x14ac:dyDescent="0.15">
      <c r="I15" s="854" t="str">
        <f>cst_wskakunin_dairi1_JIMU_NAME</f>
        <v>株式会社コラボハウス一級建築士事務所</v>
      </c>
      <c r="J15" s="854"/>
      <c r="K15" s="854"/>
      <c r="L15" s="854"/>
      <c r="M15" s="854"/>
      <c r="N15" s="854"/>
      <c r="O15" s="854"/>
      <c r="P15" s="854"/>
      <c r="Q15" s="854"/>
      <c r="R15" s="854"/>
      <c r="S15" s="854"/>
      <c r="T15" s="854"/>
      <c r="U15" s="854"/>
      <c r="V15" s="854"/>
      <c r="W15" s="854"/>
      <c r="X15" s="854"/>
      <c r="Y15" s="854"/>
      <c r="Z15" s="854"/>
      <c r="AA15" s="854"/>
      <c r="AB15" s="854"/>
      <c r="AC15" s="854"/>
      <c r="AD15" s="854"/>
    </row>
    <row r="16" spans="1:32" s="256" customFormat="1" ht="15" customHeight="1" x14ac:dyDescent="0.15">
      <c r="D16" s="257" t="s">
        <v>629</v>
      </c>
      <c r="F16" s="257"/>
      <c r="G16" s="257"/>
      <c r="H16" s="257"/>
      <c r="I16" s="854" t="str">
        <f>cst_wskakunin_dairi1_ZIP</f>
        <v>761-0312</v>
      </c>
      <c r="J16" s="854"/>
      <c r="K16" s="854"/>
      <c r="O16" s="257"/>
    </row>
    <row r="17" spans="2:38" s="256" customFormat="1" ht="15" customHeight="1" x14ac:dyDescent="0.15">
      <c r="D17" s="256" t="s">
        <v>630</v>
      </c>
      <c r="F17" s="257"/>
      <c r="G17" s="257"/>
      <c r="H17" s="257"/>
      <c r="I17" s="854" t="str">
        <f>cst_wskakunin_dairi1__address</f>
        <v>香川県高松市東山崎町13-2</v>
      </c>
      <c r="J17" s="854"/>
      <c r="K17" s="854"/>
      <c r="L17" s="854"/>
      <c r="M17" s="854"/>
      <c r="N17" s="854"/>
      <c r="O17" s="854"/>
      <c r="P17" s="854"/>
      <c r="Q17" s="854"/>
      <c r="R17" s="854"/>
      <c r="S17" s="854"/>
      <c r="T17" s="854"/>
      <c r="U17" s="854"/>
      <c r="V17" s="854"/>
      <c r="W17" s="854"/>
      <c r="X17" s="854"/>
      <c r="Y17" s="854"/>
      <c r="Z17" s="854"/>
      <c r="AA17" s="854"/>
      <c r="AB17" s="854"/>
      <c r="AC17" s="854"/>
      <c r="AD17" s="854"/>
    </row>
    <row r="18" spans="2:38" s="256" customFormat="1" ht="15" customHeight="1" x14ac:dyDescent="0.15">
      <c r="B18" s="261"/>
      <c r="C18" s="261"/>
      <c r="D18" s="262" t="s">
        <v>631</v>
      </c>
      <c r="E18" s="261"/>
      <c r="F18" s="262"/>
      <c r="G18" s="262"/>
      <c r="H18" s="262"/>
      <c r="I18" s="858" t="str">
        <f>cst_wskakunin_dairi1_TEL</f>
        <v>087-813-0909</v>
      </c>
      <c r="J18" s="858"/>
      <c r="K18" s="858"/>
      <c r="L18" s="858"/>
      <c r="M18" s="858"/>
      <c r="N18" s="858"/>
      <c r="O18" s="261"/>
      <c r="P18" s="261"/>
      <c r="Q18" s="261"/>
      <c r="R18" s="261"/>
      <c r="S18" s="261"/>
      <c r="T18" s="261"/>
      <c r="U18" s="261"/>
      <c r="V18" s="261"/>
      <c r="W18" s="261"/>
      <c r="X18" s="261"/>
      <c r="Y18" s="261"/>
      <c r="Z18" s="261"/>
      <c r="AA18" s="261"/>
      <c r="AB18" s="261"/>
      <c r="AC18" s="261"/>
      <c r="AD18" s="261"/>
    </row>
    <row r="19" spans="2:38" ht="15" customHeight="1" x14ac:dyDescent="0.15">
      <c r="C19" s="12" t="s">
        <v>632</v>
      </c>
      <c r="AE19" s="256"/>
      <c r="AF19" s="256"/>
      <c r="AG19" s="256"/>
      <c r="AH19" s="256"/>
      <c r="AI19" s="256"/>
      <c r="AJ19" s="256"/>
      <c r="AK19" s="256"/>
      <c r="AL19" s="256"/>
    </row>
    <row r="20" spans="2:38" ht="15" customHeight="1" x14ac:dyDescent="0.15">
      <c r="C20" s="252" t="s">
        <v>633</v>
      </c>
      <c r="AE20" s="256"/>
      <c r="AF20" s="256"/>
      <c r="AG20" s="256"/>
      <c r="AH20" s="256"/>
      <c r="AI20" s="256"/>
      <c r="AJ20" s="256"/>
      <c r="AK20" s="256"/>
      <c r="AL20" s="256"/>
    </row>
    <row r="21" spans="2:38" s="256" customFormat="1" ht="15" customHeight="1" x14ac:dyDescent="0.15">
      <c r="D21" s="257" t="s">
        <v>623</v>
      </c>
      <c r="F21" s="257"/>
      <c r="G21" s="257"/>
      <c r="H21" s="257"/>
      <c r="I21" s="259" t="s">
        <v>2</v>
      </c>
      <c r="J21" s="857" t="str">
        <f>cst_wskakunin_sekkei1_SIKAKU</f>
        <v>一級</v>
      </c>
      <c r="K21" s="857"/>
      <c r="L21" s="260" t="s">
        <v>3</v>
      </c>
      <c r="M21" s="256" t="s">
        <v>624</v>
      </c>
      <c r="Q21" s="257" t="s">
        <v>2</v>
      </c>
      <c r="R21" s="857" t="str">
        <f>cst_wskakunin_sekkei1_TOUROKU_KIKAN</f>
        <v>国土交通大臣</v>
      </c>
      <c r="S21" s="857"/>
      <c r="T21" s="857"/>
      <c r="U21" s="260" t="s">
        <v>3</v>
      </c>
      <c r="W21" s="259" t="s">
        <v>625</v>
      </c>
      <c r="X21" s="857" t="str">
        <f>cst_wskakunin_sekkei1_KENTIKUSI_NO</f>
        <v>339014</v>
      </c>
      <c r="Y21" s="857"/>
      <c r="Z21" s="857"/>
      <c r="AA21" s="259" t="s">
        <v>439</v>
      </c>
    </row>
    <row r="22" spans="2:38" s="256" customFormat="1" ht="15" customHeight="1" x14ac:dyDescent="0.15">
      <c r="D22" s="257" t="s">
        <v>620</v>
      </c>
      <c r="F22" s="257"/>
      <c r="G22" s="257"/>
      <c r="H22" s="257"/>
      <c r="I22" s="854" t="str">
        <f>cst_wskakunin_sekkei1_NAME</f>
        <v>白形　真</v>
      </c>
      <c r="J22" s="854"/>
      <c r="K22" s="854"/>
      <c r="L22" s="854"/>
      <c r="M22" s="854"/>
      <c r="N22" s="854"/>
      <c r="O22" s="854"/>
      <c r="P22" s="854"/>
      <c r="Q22" s="854"/>
      <c r="R22" s="854"/>
      <c r="S22" s="854"/>
      <c r="T22" s="854"/>
      <c r="U22" s="854"/>
      <c r="V22" s="854"/>
      <c r="W22" s="854"/>
      <c r="X22" s="854"/>
      <c r="Y22" s="854"/>
      <c r="Z22" s="854"/>
      <c r="AA22" s="854"/>
      <c r="AB22" s="854"/>
      <c r="AC22" s="854"/>
      <c r="AD22" s="854"/>
    </row>
    <row r="23" spans="2:38" s="256" customFormat="1" ht="15" customHeight="1" x14ac:dyDescent="0.15">
      <c r="D23" s="257" t="s">
        <v>626</v>
      </c>
      <c r="I23" s="259" t="s">
        <v>2</v>
      </c>
      <c r="J23" s="857" t="str">
        <f>cst_wskakunin_sekkei1_JIMU_SIKAKU</f>
        <v>一級</v>
      </c>
      <c r="K23" s="857"/>
      <c r="L23" s="260" t="s">
        <v>3</v>
      </c>
      <c r="M23" s="256" t="s">
        <v>627</v>
      </c>
      <c r="Q23" s="257" t="s">
        <v>2</v>
      </c>
      <c r="R23" s="857" t="str">
        <f>cst_wskakunin_sekkei1_JIMU_TOUROKU_KIKAN</f>
        <v>愛媛県</v>
      </c>
      <c r="S23" s="857"/>
      <c r="T23" s="260" t="s">
        <v>3</v>
      </c>
      <c r="W23" s="259" t="s">
        <v>628</v>
      </c>
      <c r="X23" s="857" t="str">
        <f>cst_wskakunin_sekkei1_JIMU_NO</f>
        <v>3002</v>
      </c>
      <c r="Y23" s="857"/>
      <c r="Z23" s="857"/>
      <c r="AA23" s="259" t="s">
        <v>439</v>
      </c>
    </row>
    <row r="24" spans="2:38" s="256" customFormat="1" ht="15" customHeight="1" x14ac:dyDescent="0.15">
      <c r="I24" s="854" t="str">
        <f>cst_wskakunin_sekkei1_JIMU_NAME</f>
        <v>株式会社コラボハウス一級建築士事務所</v>
      </c>
      <c r="J24" s="854"/>
      <c r="K24" s="854"/>
      <c r="L24" s="854"/>
      <c r="M24" s="854"/>
      <c r="N24" s="854"/>
      <c r="O24" s="854"/>
      <c r="P24" s="854"/>
      <c r="Q24" s="854"/>
      <c r="R24" s="854"/>
      <c r="S24" s="854"/>
      <c r="T24" s="854"/>
      <c r="U24" s="854"/>
      <c r="V24" s="854"/>
      <c r="W24" s="854"/>
      <c r="X24" s="854"/>
      <c r="Y24" s="854"/>
      <c r="Z24" s="854"/>
      <c r="AA24" s="854"/>
      <c r="AB24" s="854"/>
      <c r="AC24" s="854"/>
      <c r="AD24" s="854"/>
    </row>
    <row r="25" spans="2:38" s="256" customFormat="1" ht="15" customHeight="1" x14ac:dyDescent="0.15">
      <c r="D25" s="257" t="s">
        <v>629</v>
      </c>
      <c r="F25" s="257"/>
      <c r="G25" s="257"/>
      <c r="H25" s="257"/>
      <c r="I25" s="854" t="str">
        <f>cst_wskakunin_sekkei1_ZIP</f>
        <v>790-0916</v>
      </c>
      <c r="J25" s="854"/>
      <c r="K25" s="854"/>
    </row>
    <row r="26" spans="2:38" s="256" customFormat="1" ht="15" customHeight="1" x14ac:dyDescent="0.15">
      <c r="D26" s="256" t="s">
        <v>630</v>
      </c>
      <c r="F26" s="257"/>
      <c r="G26" s="257"/>
      <c r="H26" s="257"/>
      <c r="I26" s="854" t="str">
        <f>cst_wskakunin_sekkei1__address</f>
        <v>愛媛県松山市束本1丁目6-10　2F</v>
      </c>
      <c r="J26" s="854"/>
      <c r="K26" s="854"/>
      <c r="L26" s="854"/>
      <c r="M26" s="854"/>
      <c r="N26" s="854"/>
      <c r="O26" s="854"/>
      <c r="P26" s="854"/>
      <c r="Q26" s="854"/>
      <c r="R26" s="854"/>
      <c r="S26" s="854"/>
      <c r="T26" s="854"/>
      <c r="U26" s="854"/>
      <c r="V26" s="854"/>
      <c r="W26" s="854"/>
      <c r="X26" s="854"/>
      <c r="Y26" s="854"/>
      <c r="Z26" s="854"/>
      <c r="AA26" s="854"/>
      <c r="AB26" s="854"/>
      <c r="AC26" s="854"/>
      <c r="AD26" s="854"/>
    </row>
    <row r="27" spans="2:38" s="256" customFormat="1" ht="15" customHeight="1" x14ac:dyDescent="0.15">
      <c r="D27" s="257" t="s">
        <v>631</v>
      </c>
      <c r="F27" s="257"/>
      <c r="G27" s="257"/>
      <c r="H27" s="257"/>
      <c r="I27" s="854" t="str">
        <f>cst_wskakunin_sekkei1_TEL</f>
        <v>089-947-1313</v>
      </c>
      <c r="J27" s="854"/>
      <c r="K27" s="854"/>
      <c r="L27" s="854"/>
      <c r="M27" s="854"/>
      <c r="N27" s="854"/>
    </row>
    <row r="28" spans="2:38" s="256" customFormat="1" ht="24" customHeight="1" x14ac:dyDescent="0.15">
      <c r="B28" s="263"/>
      <c r="C28" s="263"/>
      <c r="D28" s="263" t="s">
        <v>634</v>
      </c>
      <c r="E28" s="327"/>
      <c r="F28" s="327"/>
      <c r="G28" s="327"/>
      <c r="H28" s="327"/>
      <c r="I28" s="266"/>
      <c r="J28" s="266"/>
      <c r="K28" s="266"/>
      <c r="L28" s="860" t="str">
        <f>cst_wskakunin_sekkei1_DOC</f>
        <v>設計図書一式</v>
      </c>
      <c r="M28" s="860"/>
      <c r="N28" s="860"/>
      <c r="O28" s="860"/>
      <c r="P28" s="860"/>
      <c r="Q28" s="860"/>
      <c r="R28" s="860"/>
      <c r="S28" s="860"/>
      <c r="T28" s="860"/>
      <c r="U28" s="860"/>
      <c r="V28" s="860"/>
      <c r="W28" s="860"/>
      <c r="X28" s="860"/>
      <c r="Y28" s="860"/>
      <c r="Z28" s="860"/>
      <c r="AA28" s="860"/>
      <c r="AB28" s="860"/>
      <c r="AC28" s="860"/>
      <c r="AD28" s="860"/>
    </row>
    <row r="29" spans="2:38" ht="15" customHeight="1" x14ac:dyDescent="0.15">
      <c r="C29" s="252" t="s">
        <v>635</v>
      </c>
    </row>
    <row r="30" spans="2:38" s="256" customFormat="1" ht="15" customHeight="1" x14ac:dyDescent="0.15">
      <c r="D30" s="257" t="s">
        <v>623</v>
      </c>
      <c r="F30" s="257"/>
      <c r="G30" s="257"/>
      <c r="H30" s="257"/>
      <c r="I30" s="259" t="s">
        <v>2</v>
      </c>
      <c r="J30" s="854" t="str">
        <f>cst_wskakunin_sekkei2_SIKAKU</f>
        <v/>
      </c>
      <c r="K30" s="854"/>
      <c r="L30" s="260" t="s">
        <v>3</v>
      </c>
      <c r="M30" s="256" t="s">
        <v>624</v>
      </c>
      <c r="Q30" s="257" t="s">
        <v>2</v>
      </c>
      <c r="R30" s="857" t="str">
        <f>cst_wskakunin_sekkei2_TOUROKU_KIKAN</f>
        <v/>
      </c>
      <c r="S30" s="857"/>
      <c r="T30" s="857"/>
      <c r="U30" s="260" t="s">
        <v>3</v>
      </c>
      <c r="W30" s="259" t="s">
        <v>625</v>
      </c>
      <c r="X30" s="857" t="str">
        <f>cst_wskakunin_sekkei2_KENTIKUSI_NO</f>
        <v/>
      </c>
      <c r="Y30" s="857"/>
      <c r="Z30" s="857"/>
      <c r="AA30" s="259" t="s">
        <v>439</v>
      </c>
    </row>
    <row r="31" spans="2:38" s="256" customFormat="1" ht="15" customHeight="1" x14ac:dyDescent="0.15">
      <c r="D31" s="257" t="s">
        <v>620</v>
      </c>
      <c r="F31" s="257"/>
      <c r="G31" s="257"/>
      <c r="H31" s="257"/>
      <c r="I31" s="854" t="str">
        <f>cst_wskakunin_sekkei2_NAME</f>
        <v/>
      </c>
      <c r="J31" s="854"/>
      <c r="K31" s="854"/>
      <c r="L31" s="854"/>
      <c r="M31" s="854"/>
      <c r="N31" s="854"/>
      <c r="O31" s="854"/>
      <c r="P31" s="854"/>
      <c r="Q31" s="854"/>
      <c r="R31" s="854"/>
      <c r="S31" s="854"/>
      <c r="T31" s="854"/>
      <c r="U31" s="854"/>
      <c r="V31" s="854"/>
      <c r="W31" s="854"/>
      <c r="X31" s="854"/>
      <c r="Y31" s="854"/>
      <c r="Z31" s="854"/>
      <c r="AA31" s="854"/>
      <c r="AB31" s="854"/>
      <c r="AC31" s="854"/>
      <c r="AD31" s="854"/>
    </row>
    <row r="32" spans="2:38" s="256" customFormat="1" ht="15" customHeight="1" x14ac:dyDescent="0.15">
      <c r="D32" s="257" t="s">
        <v>626</v>
      </c>
      <c r="I32" s="259" t="s">
        <v>2</v>
      </c>
      <c r="J32" s="857" t="str">
        <f>cst_wskakunin_sekkei2_JIMU_SIKAKU</f>
        <v/>
      </c>
      <c r="K32" s="857"/>
      <c r="L32" s="260" t="s">
        <v>3</v>
      </c>
      <c r="M32" s="256" t="s">
        <v>627</v>
      </c>
      <c r="Q32" s="257" t="s">
        <v>2</v>
      </c>
      <c r="R32" s="857" t="str">
        <f>cst_wskakunin_sekkei2_JIMU_TOUROKU_KIKAN</f>
        <v/>
      </c>
      <c r="S32" s="857"/>
      <c r="T32" s="260" t="s">
        <v>3</v>
      </c>
      <c r="W32" s="259" t="s">
        <v>628</v>
      </c>
      <c r="X32" s="857" t="str">
        <f>cst_wskakunin_sekkei2_JIMU_NO</f>
        <v/>
      </c>
      <c r="Y32" s="857"/>
      <c r="Z32" s="857"/>
      <c r="AA32" s="259" t="s">
        <v>439</v>
      </c>
    </row>
    <row r="33" spans="2:32" s="256" customFormat="1" ht="15" customHeight="1" x14ac:dyDescent="0.15">
      <c r="I33" s="854" t="str">
        <f>cst_wskakunin_sekkei2_JIMU_NAME</f>
        <v/>
      </c>
      <c r="J33" s="854"/>
      <c r="K33" s="854"/>
      <c r="L33" s="854"/>
      <c r="M33" s="854"/>
      <c r="N33" s="854"/>
      <c r="O33" s="854"/>
      <c r="P33" s="854"/>
      <c r="Q33" s="854"/>
      <c r="R33" s="854"/>
      <c r="S33" s="854"/>
      <c r="T33" s="854"/>
      <c r="U33" s="854"/>
      <c r="V33" s="854"/>
      <c r="W33" s="854"/>
      <c r="X33" s="854"/>
      <c r="Y33" s="854"/>
      <c r="Z33" s="854"/>
      <c r="AA33" s="854"/>
      <c r="AB33" s="854"/>
      <c r="AC33" s="854"/>
      <c r="AD33" s="854"/>
    </row>
    <row r="34" spans="2:32" s="256" customFormat="1" ht="15" customHeight="1" x14ac:dyDescent="0.15">
      <c r="D34" s="257" t="s">
        <v>629</v>
      </c>
      <c r="F34" s="257"/>
      <c r="G34" s="257"/>
      <c r="H34" s="257"/>
      <c r="I34" s="854" t="str">
        <f>cst_wskakunin_sekkei2_ZIP</f>
        <v/>
      </c>
      <c r="J34" s="854"/>
      <c r="K34" s="854"/>
      <c r="O34" s="257"/>
      <c r="P34" s="257"/>
      <c r="Q34" s="257"/>
      <c r="R34" s="257"/>
      <c r="S34" s="257"/>
      <c r="T34" s="257"/>
      <c r="U34" s="257"/>
      <c r="V34" s="257"/>
      <c r="W34" s="257"/>
      <c r="X34" s="257"/>
      <c r="Y34" s="257"/>
      <c r="Z34" s="257"/>
      <c r="AA34" s="257"/>
      <c r="AB34" s="257"/>
      <c r="AC34" s="257"/>
      <c r="AD34" s="257"/>
      <c r="AE34" s="257"/>
      <c r="AF34" s="257"/>
    </row>
    <row r="35" spans="2:32" s="256" customFormat="1" ht="15" customHeight="1" x14ac:dyDescent="0.15">
      <c r="D35" s="256" t="s">
        <v>630</v>
      </c>
      <c r="F35" s="257"/>
      <c r="G35" s="257"/>
      <c r="H35" s="257"/>
      <c r="I35" s="861" t="str">
        <f>cst_wskakunin_sekkei2__address</f>
        <v/>
      </c>
      <c r="J35" s="861"/>
      <c r="K35" s="861"/>
      <c r="L35" s="861"/>
      <c r="M35" s="861"/>
      <c r="N35" s="861"/>
      <c r="O35" s="861"/>
      <c r="P35" s="861"/>
      <c r="Q35" s="861"/>
      <c r="R35" s="861"/>
      <c r="S35" s="861"/>
      <c r="T35" s="861"/>
      <c r="U35" s="861"/>
      <c r="V35" s="861"/>
      <c r="W35" s="861"/>
      <c r="X35" s="861"/>
      <c r="Y35" s="861"/>
      <c r="Z35" s="861"/>
      <c r="AA35" s="861"/>
      <c r="AB35" s="861"/>
      <c r="AC35" s="861"/>
      <c r="AD35" s="861"/>
    </row>
    <row r="36" spans="2:32" s="256" customFormat="1" ht="15" customHeight="1" x14ac:dyDescent="0.15">
      <c r="D36" s="257" t="s">
        <v>631</v>
      </c>
      <c r="F36" s="257"/>
      <c r="G36" s="257"/>
      <c r="H36" s="257"/>
      <c r="I36" s="854" t="str">
        <f>cst_wskakunin_sekkei2_TEL</f>
        <v/>
      </c>
      <c r="J36" s="854"/>
      <c r="K36" s="854"/>
      <c r="L36" s="854"/>
      <c r="M36" s="854"/>
      <c r="N36" s="854"/>
    </row>
    <row r="37" spans="2:32" s="256" customFormat="1" ht="24" customHeight="1" x14ac:dyDescent="0.15">
      <c r="B37" s="263"/>
      <c r="C37" s="263"/>
      <c r="D37" s="266" t="s">
        <v>634</v>
      </c>
      <c r="E37" s="266"/>
      <c r="F37" s="266"/>
      <c r="G37" s="266"/>
      <c r="H37" s="266"/>
      <c r="I37" s="266"/>
      <c r="J37" s="266"/>
      <c r="K37" s="266"/>
      <c r="L37" s="860" t="str">
        <f>cst_wskakunin_sekkei2_DOC</f>
        <v/>
      </c>
      <c r="M37" s="860"/>
      <c r="N37" s="860"/>
      <c r="O37" s="860"/>
      <c r="P37" s="860"/>
      <c r="Q37" s="860"/>
      <c r="R37" s="860"/>
      <c r="S37" s="860"/>
      <c r="T37" s="860"/>
      <c r="U37" s="860"/>
      <c r="V37" s="860"/>
      <c r="W37" s="860"/>
      <c r="X37" s="860"/>
      <c r="Y37" s="860"/>
      <c r="Z37" s="860"/>
      <c r="AA37" s="860"/>
      <c r="AB37" s="860"/>
      <c r="AC37" s="860"/>
      <c r="AD37" s="860"/>
    </row>
    <row r="38" spans="2:32" s="256" customFormat="1" ht="15" customHeight="1" x14ac:dyDescent="0.15">
      <c r="D38" s="257" t="s">
        <v>623</v>
      </c>
      <c r="F38" s="257"/>
      <c r="G38" s="257"/>
      <c r="H38" s="257"/>
      <c r="I38" s="259" t="s">
        <v>2</v>
      </c>
      <c r="J38" s="857" t="str">
        <f>cst_wskakunin_sekkei3_SIKAKU</f>
        <v/>
      </c>
      <c r="K38" s="857"/>
      <c r="L38" s="260" t="s">
        <v>3</v>
      </c>
      <c r="M38" s="256" t="s">
        <v>624</v>
      </c>
      <c r="Q38" s="257" t="s">
        <v>2</v>
      </c>
      <c r="R38" s="857" t="str">
        <f>cst_wskakunin_sekkei3_TOUROKU_KIKAN</f>
        <v/>
      </c>
      <c r="S38" s="857"/>
      <c r="T38" s="857"/>
      <c r="U38" s="260" t="s">
        <v>3</v>
      </c>
      <c r="W38" s="259" t="s">
        <v>625</v>
      </c>
      <c r="X38" s="857" t="str">
        <f>cst_wskakunin_sekkei3_KENTIKUSI_NO</f>
        <v/>
      </c>
      <c r="Y38" s="857"/>
      <c r="Z38" s="857"/>
      <c r="AA38" s="259" t="s">
        <v>439</v>
      </c>
    </row>
    <row r="39" spans="2:32" s="256" customFormat="1" ht="15" customHeight="1" x14ac:dyDescent="0.15">
      <c r="D39" s="257" t="s">
        <v>620</v>
      </c>
      <c r="F39" s="257"/>
      <c r="G39" s="257"/>
      <c r="H39" s="257"/>
      <c r="I39" s="854" t="str">
        <f>cst_wskakunin_sekkei3_NAME</f>
        <v/>
      </c>
      <c r="J39" s="854"/>
      <c r="K39" s="854"/>
      <c r="L39" s="854"/>
      <c r="M39" s="854"/>
      <c r="N39" s="854"/>
      <c r="O39" s="854"/>
      <c r="P39" s="854"/>
      <c r="Q39" s="854"/>
      <c r="R39" s="854"/>
      <c r="S39" s="854"/>
      <c r="T39" s="854"/>
      <c r="U39" s="854"/>
      <c r="V39" s="854"/>
      <c r="W39" s="854"/>
      <c r="X39" s="854"/>
      <c r="Y39" s="854"/>
      <c r="Z39" s="854"/>
      <c r="AA39" s="854"/>
      <c r="AB39" s="854"/>
      <c r="AC39" s="854"/>
      <c r="AD39" s="854"/>
    </row>
    <row r="40" spans="2:32" s="256" customFormat="1" ht="15" customHeight="1" x14ac:dyDescent="0.15">
      <c r="D40" s="257" t="s">
        <v>626</v>
      </c>
      <c r="I40" s="259" t="s">
        <v>2</v>
      </c>
      <c r="J40" s="857" t="str">
        <f>cst_wskakunin_sekkei3_JIMU_SIKAKU</f>
        <v/>
      </c>
      <c r="K40" s="857"/>
      <c r="L40" s="260" t="s">
        <v>3</v>
      </c>
      <c r="M40" s="256" t="s">
        <v>627</v>
      </c>
      <c r="Q40" s="257" t="s">
        <v>2</v>
      </c>
      <c r="R40" s="857" t="str">
        <f>cst_wskakunin_sekkei3_JIMU_TOUROKU_KIKAN</f>
        <v/>
      </c>
      <c r="S40" s="857"/>
      <c r="T40" s="260" t="s">
        <v>3</v>
      </c>
      <c r="W40" s="259" t="s">
        <v>628</v>
      </c>
      <c r="X40" s="857" t="str">
        <f>cst_wskakunin_sekkei3_JIMU_NO</f>
        <v/>
      </c>
      <c r="Y40" s="857"/>
      <c r="Z40" s="857"/>
      <c r="AA40" s="259" t="s">
        <v>439</v>
      </c>
    </row>
    <row r="41" spans="2:32" s="256" customFormat="1" ht="15" customHeight="1" x14ac:dyDescent="0.15">
      <c r="I41" s="854" t="str">
        <f>cst_wskakunin_sekkei3_JIMU_NAME</f>
        <v/>
      </c>
      <c r="J41" s="854"/>
      <c r="K41" s="854"/>
      <c r="L41" s="854"/>
      <c r="M41" s="854"/>
      <c r="N41" s="854"/>
      <c r="O41" s="854"/>
      <c r="P41" s="854"/>
      <c r="Q41" s="854"/>
      <c r="R41" s="854"/>
      <c r="S41" s="854"/>
      <c r="T41" s="854"/>
      <c r="U41" s="854"/>
      <c r="V41" s="854"/>
      <c r="W41" s="854"/>
      <c r="X41" s="854"/>
      <c r="Y41" s="854"/>
      <c r="Z41" s="854"/>
      <c r="AA41" s="854"/>
      <c r="AB41" s="854"/>
      <c r="AC41" s="854"/>
      <c r="AD41" s="854"/>
    </row>
    <row r="42" spans="2:32" s="256" customFormat="1" ht="15" customHeight="1" x14ac:dyDescent="0.15">
      <c r="D42" s="257" t="s">
        <v>629</v>
      </c>
      <c r="F42" s="257"/>
      <c r="G42" s="257"/>
      <c r="H42" s="257"/>
      <c r="I42" s="854" t="str">
        <f>cst_wskakunin_sekkei3_ZIP</f>
        <v/>
      </c>
      <c r="J42" s="854"/>
      <c r="K42" s="854"/>
      <c r="O42" s="257"/>
    </row>
    <row r="43" spans="2:32" s="256" customFormat="1" ht="15" customHeight="1" x14ac:dyDescent="0.15">
      <c r="D43" s="256" t="s">
        <v>630</v>
      </c>
      <c r="F43" s="257"/>
      <c r="G43" s="257"/>
      <c r="H43" s="257"/>
      <c r="I43" s="861" t="str">
        <f>cst_wskakunin_sekkei3__address</f>
        <v/>
      </c>
      <c r="J43" s="861"/>
      <c r="K43" s="861"/>
      <c r="L43" s="861"/>
      <c r="M43" s="861"/>
      <c r="N43" s="861"/>
      <c r="O43" s="861"/>
      <c r="P43" s="861"/>
      <c r="Q43" s="861"/>
      <c r="R43" s="861"/>
      <c r="S43" s="861"/>
      <c r="T43" s="861"/>
      <c r="U43" s="861"/>
      <c r="V43" s="861"/>
      <c r="W43" s="861"/>
      <c r="X43" s="861"/>
      <c r="Y43" s="861"/>
      <c r="Z43" s="861"/>
      <c r="AA43" s="861"/>
      <c r="AB43" s="861"/>
      <c r="AC43" s="861"/>
      <c r="AD43" s="861"/>
    </row>
    <row r="44" spans="2:32" s="256" customFormat="1" ht="15" customHeight="1" x14ac:dyDescent="0.15">
      <c r="D44" s="257" t="s">
        <v>631</v>
      </c>
      <c r="F44" s="257"/>
      <c r="G44" s="257"/>
      <c r="H44" s="257"/>
      <c r="I44" s="854" t="str">
        <f>cst_wskakunin_sekkei3_TEL</f>
        <v/>
      </c>
      <c r="J44" s="854"/>
      <c r="K44" s="854"/>
      <c r="L44" s="854"/>
      <c r="M44" s="854"/>
      <c r="N44" s="854"/>
    </row>
    <row r="45" spans="2:32" s="256" customFormat="1" ht="24" customHeight="1" x14ac:dyDescent="0.15">
      <c r="B45" s="263"/>
      <c r="C45" s="263"/>
      <c r="D45" s="263" t="s">
        <v>634</v>
      </c>
      <c r="E45" s="263"/>
      <c r="F45" s="263"/>
      <c r="G45" s="263"/>
      <c r="H45" s="263"/>
      <c r="I45" s="263"/>
      <c r="J45" s="263"/>
      <c r="K45" s="263"/>
      <c r="L45" s="860" t="str">
        <f>cst_wskakunin_sekkei3_DOC</f>
        <v/>
      </c>
      <c r="M45" s="860"/>
      <c r="N45" s="860"/>
      <c r="O45" s="860"/>
      <c r="P45" s="860"/>
      <c r="Q45" s="860"/>
      <c r="R45" s="860"/>
      <c r="S45" s="860"/>
      <c r="T45" s="860"/>
      <c r="U45" s="860"/>
      <c r="V45" s="860"/>
      <c r="W45" s="860"/>
      <c r="X45" s="860"/>
      <c r="Y45" s="860"/>
      <c r="Z45" s="860"/>
      <c r="AA45" s="860"/>
      <c r="AB45" s="860"/>
      <c r="AC45" s="860"/>
      <c r="AD45" s="860"/>
    </row>
    <row r="46" spans="2:32" s="256" customFormat="1" ht="15" customHeight="1" x14ac:dyDescent="0.15">
      <c r="D46" s="257" t="s">
        <v>623</v>
      </c>
      <c r="F46" s="257"/>
      <c r="G46" s="257"/>
      <c r="H46" s="257"/>
      <c r="I46" s="259" t="s">
        <v>2</v>
      </c>
      <c r="J46" s="857" t="str">
        <f>cst_wskakunin_sekkei4_SIKAKU</f>
        <v/>
      </c>
      <c r="K46" s="857"/>
      <c r="L46" s="260" t="s">
        <v>3</v>
      </c>
      <c r="M46" s="256" t="s">
        <v>624</v>
      </c>
      <c r="Q46" s="257" t="s">
        <v>2</v>
      </c>
      <c r="R46" s="857" t="str">
        <f>cst_wskakunin_sekkei4_TOUROKU_KIKAN</f>
        <v/>
      </c>
      <c r="S46" s="857"/>
      <c r="T46" s="857"/>
      <c r="U46" s="260" t="s">
        <v>3</v>
      </c>
      <c r="W46" s="259" t="s">
        <v>625</v>
      </c>
      <c r="X46" s="857" t="str">
        <f>cst_wskakunin_sekkei4_KENTIKUSI_NO</f>
        <v/>
      </c>
      <c r="Y46" s="857"/>
      <c r="Z46" s="857"/>
      <c r="AA46" s="259" t="s">
        <v>439</v>
      </c>
    </row>
    <row r="47" spans="2:32" s="256" customFormat="1" ht="15" customHeight="1" x14ac:dyDescent="0.15">
      <c r="D47" s="257" t="s">
        <v>620</v>
      </c>
      <c r="F47" s="257"/>
      <c r="G47" s="257"/>
      <c r="H47" s="257"/>
      <c r="I47" s="854" t="str">
        <f>cst_wskakunin_sekkei4_NAME</f>
        <v/>
      </c>
      <c r="J47" s="854"/>
      <c r="K47" s="854"/>
      <c r="L47" s="854"/>
      <c r="M47" s="854"/>
      <c r="N47" s="854"/>
      <c r="O47" s="854"/>
      <c r="P47" s="854"/>
      <c r="Q47" s="854"/>
      <c r="R47" s="854"/>
      <c r="S47" s="854"/>
      <c r="T47" s="854"/>
      <c r="U47" s="854"/>
      <c r="V47" s="854"/>
      <c r="W47" s="854"/>
      <c r="X47" s="854"/>
      <c r="Y47" s="854"/>
      <c r="Z47" s="854"/>
      <c r="AA47" s="854"/>
      <c r="AB47" s="854"/>
      <c r="AC47" s="854"/>
      <c r="AD47" s="854"/>
    </row>
    <row r="48" spans="2:32" s="256" customFormat="1" ht="15" customHeight="1" x14ac:dyDescent="0.15">
      <c r="D48" s="257" t="s">
        <v>626</v>
      </c>
      <c r="I48" s="259" t="s">
        <v>2</v>
      </c>
      <c r="J48" s="857" t="str">
        <f>cst_wskakunin_sekkei4_JIMU_SIKAKU</f>
        <v/>
      </c>
      <c r="K48" s="857"/>
      <c r="L48" s="260" t="s">
        <v>3</v>
      </c>
      <c r="M48" s="256" t="s">
        <v>627</v>
      </c>
      <c r="Q48" s="257" t="s">
        <v>2</v>
      </c>
      <c r="R48" s="857" t="str">
        <f>cst_wskakunin_sekkei4_JIMU_TOUROKU_KIKAN</f>
        <v/>
      </c>
      <c r="S48" s="857"/>
      <c r="T48" s="260" t="s">
        <v>3</v>
      </c>
      <c r="W48" s="259" t="s">
        <v>628</v>
      </c>
      <c r="X48" s="857" t="str">
        <f>cst_wskakunin_sekkei4_JIMU_NO</f>
        <v/>
      </c>
      <c r="Y48" s="857"/>
      <c r="Z48" s="857"/>
      <c r="AA48" s="259" t="s">
        <v>439</v>
      </c>
    </row>
    <row r="49" spans="3:34" s="256" customFormat="1" ht="15" customHeight="1" x14ac:dyDescent="0.15">
      <c r="I49" s="854" t="str">
        <f>cst_wskakunin_sekkei4_JIMU_NAME</f>
        <v/>
      </c>
      <c r="J49" s="854"/>
      <c r="K49" s="854"/>
      <c r="L49" s="854"/>
      <c r="M49" s="854"/>
      <c r="N49" s="854"/>
      <c r="O49" s="854"/>
      <c r="P49" s="854"/>
      <c r="Q49" s="854"/>
      <c r="R49" s="854"/>
      <c r="S49" s="854"/>
      <c r="T49" s="854"/>
      <c r="U49" s="854"/>
      <c r="V49" s="854"/>
      <c r="W49" s="854"/>
      <c r="X49" s="854"/>
      <c r="Y49" s="854"/>
      <c r="Z49" s="854"/>
      <c r="AA49" s="854"/>
      <c r="AB49" s="854"/>
      <c r="AC49" s="854"/>
      <c r="AD49" s="854"/>
    </row>
    <row r="50" spans="3:34" s="256" customFormat="1" ht="15" customHeight="1" x14ac:dyDescent="0.15">
      <c r="D50" s="257" t="s">
        <v>629</v>
      </c>
      <c r="F50" s="257"/>
      <c r="G50" s="257"/>
      <c r="H50" s="257"/>
      <c r="I50" s="854" t="str">
        <f>cst_wskakunin_sekkei4_ZIP</f>
        <v/>
      </c>
      <c r="J50" s="854"/>
      <c r="K50" s="854"/>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row>
    <row r="51" spans="3:34" s="256" customFormat="1" ht="15" customHeight="1" x14ac:dyDescent="0.15">
      <c r="D51" s="256" t="s">
        <v>630</v>
      </c>
      <c r="F51" s="257"/>
      <c r="G51" s="257"/>
      <c r="H51" s="257"/>
      <c r="I51" s="854" t="str">
        <f>cst_wskakunin_sekkei4__address</f>
        <v/>
      </c>
      <c r="J51" s="854"/>
      <c r="K51" s="854"/>
      <c r="L51" s="854"/>
      <c r="M51" s="854"/>
      <c r="N51" s="854"/>
      <c r="O51" s="854"/>
      <c r="P51" s="854"/>
      <c r="Q51" s="854"/>
      <c r="R51" s="854"/>
      <c r="S51" s="854"/>
      <c r="T51" s="854"/>
      <c r="U51" s="854"/>
      <c r="V51" s="854"/>
      <c r="W51" s="854"/>
      <c r="X51" s="854"/>
      <c r="Y51" s="854"/>
      <c r="Z51" s="854"/>
      <c r="AA51" s="854"/>
      <c r="AB51" s="854"/>
      <c r="AC51" s="854"/>
      <c r="AD51" s="854"/>
    </row>
    <row r="52" spans="3:34" s="256" customFormat="1" ht="15" customHeight="1" x14ac:dyDescent="0.15">
      <c r="D52" s="257" t="s">
        <v>631</v>
      </c>
      <c r="F52" s="257"/>
      <c r="G52" s="257"/>
      <c r="H52" s="257"/>
      <c r="I52" s="854" t="str">
        <f>cst_wskakunin_sekkei4_TEL</f>
        <v/>
      </c>
      <c r="J52" s="854"/>
      <c r="K52" s="854"/>
      <c r="L52" s="854"/>
      <c r="M52" s="854"/>
      <c r="N52" s="854"/>
    </row>
    <row r="53" spans="3:34" s="256" customFormat="1" ht="24" customHeight="1" x14ac:dyDescent="0.15">
      <c r="D53" s="263" t="s">
        <v>634</v>
      </c>
      <c r="E53" s="263"/>
      <c r="F53" s="263"/>
      <c r="G53" s="263"/>
      <c r="H53" s="263"/>
      <c r="I53" s="263"/>
      <c r="J53" s="263"/>
      <c r="K53" s="263"/>
      <c r="L53" s="860" t="str">
        <f>cst_wskakunin_sekkei4_DOC</f>
        <v/>
      </c>
      <c r="M53" s="860"/>
      <c r="N53" s="860"/>
      <c r="O53" s="860"/>
      <c r="P53" s="860"/>
      <c r="Q53" s="860"/>
      <c r="R53" s="860"/>
      <c r="S53" s="860"/>
      <c r="T53" s="860"/>
      <c r="U53" s="860"/>
      <c r="V53" s="860"/>
      <c r="W53" s="860"/>
      <c r="X53" s="860"/>
      <c r="Y53" s="860"/>
      <c r="Z53" s="860"/>
      <c r="AA53" s="860"/>
      <c r="AB53" s="860"/>
      <c r="AC53" s="860"/>
      <c r="AD53" s="860"/>
    </row>
    <row r="54" spans="3:34" s="256" customFormat="1" ht="15" customHeight="1" x14ac:dyDescent="0.15">
      <c r="C54" s="256" t="s">
        <v>636</v>
      </c>
      <c r="I54" s="257"/>
      <c r="J54" s="257"/>
      <c r="K54" s="257"/>
      <c r="L54" s="257"/>
      <c r="M54" s="257"/>
      <c r="N54" s="257"/>
      <c r="O54" s="257"/>
      <c r="P54" s="257"/>
      <c r="Q54" s="257"/>
      <c r="R54" s="257"/>
      <c r="S54" s="257"/>
      <c r="T54" s="257"/>
      <c r="U54" s="257"/>
      <c r="V54" s="257"/>
      <c r="W54" s="257"/>
      <c r="X54" s="257"/>
      <c r="Y54" s="257"/>
      <c r="Z54" s="257"/>
      <c r="AA54" s="257"/>
      <c r="AB54" s="257"/>
      <c r="AC54" s="257"/>
      <c r="AD54" s="257"/>
    </row>
    <row r="55" spans="3:34" s="256" customFormat="1" ht="15" customHeight="1" x14ac:dyDescent="0.15">
      <c r="C55" s="256" t="s">
        <v>637</v>
      </c>
      <c r="I55" s="257"/>
      <c r="J55" s="257"/>
      <c r="K55" s="257"/>
      <c r="L55" s="257"/>
      <c r="M55" s="257"/>
      <c r="N55" s="257"/>
      <c r="O55" s="257"/>
      <c r="P55" s="257"/>
      <c r="Q55" s="257"/>
      <c r="R55" s="257"/>
      <c r="S55" s="257"/>
      <c r="T55" s="257"/>
      <c r="U55" s="257"/>
      <c r="V55" s="257"/>
      <c r="W55" s="257"/>
      <c r="X55" s="257"/>
      <c r="Y55" s="257"/>
      <c r="Z55" s="257"/>
      <c r="AA55" s="257"/>
      <c r="AB55" s="257"/>
      <c r="AC55" s="257"/>
      <c r="AD55" s="257"/>
    </row>
    <row r="56" spans="3:34" s="256" customFormat="1" ht="15" customHeight="1" x14ac:dyDescent="0.15">
      <c r="D56" s="256" t="s">
        <v>638</v>
      </c>
      <c r="I56" s="257"/>
      <c r="J56" s="257"/>
      <c r="K56" s="257"/>
      <c r="L56" s="257"/>
      <c r="M56" s="257"/>
      <c r="N56" s="257"/>
      <c r="O56" s="257"/>
      <c r="P56" s="257"/>
      <c r="Q56" s="257"/>
      <c r="R56" s="257"/>
      <c r="S56" s="257"/>
      <c r="T56" s="257"/>
      <c r="U56" s="257"/>
      <c r="V56" s="257"/>
      <c r="W56" s="257"/>
      <c r="X56" s="257"/>
      <c r="Y56" s="257"/>
      <c r="Z56" s="257"/>
      <c r="AA56" s="257"/>
      <c r="AB56" s="257"/>
      <c r="AC56" s="257"/>
      <c r="AD56" s="257"/>
    </row>
    <row r="57" spans="3:34" s="256" customFormat="1" ht="15" customHeight="1" x14ac:dyDescent="0.15">
      <c r="D57" s="256" t="s">
        <v>639</v>
      </c>
      <c r="I57" s="257"/>
      <c r="J57" s="257"/>
      <c r="K57" s="257"/>
      <c r="L57" s="257"/>
      <c r="M57" s="257"/>
      <c r="N57" s="257"/>
      <c r="O57" s="257"/>
      <c r="P57" s="854" t="str">
        <f>cst_wskakunin_20kouzou101_NAME</f>
        <v/>
      </c>
      <c r="Q57" s="854"/>
      <c r="R57" s="854"/>
      <c r="S57" s="854"/>
      <c r="T57" s="854"/>
      <c r="U57" s="854"/>
      <c r="V57" s="854"/>
      <c r="W57" s="854"/>
      <c r="X57" s="854"/>
      <c r="Y57" s="854"/>
      <c r="Z57" s="854"/>
      <c r="AA57" s="257"/>
      <c r="AB57" s="257"/>
      <c r="AC57" s="257"/>
      <c r="AD57" s="257"/>
    </row>
    <row r="58" spans="3:34" s="256" customFormat="1" ht="15" customHeight="1" x14ac:dyDescent="0.15">
      <c r="D58" s="257" t="s">
        <v>640</v>
      </c>
      <c r="I58" s="862" t="s">
        <v>641</v>
      </c>
      <c r="J58" s="862"/>
      <c r="K58" s="862"/>
      <c r="L58" s="862"/>
      <c r="M58" s="862"/>
      <c r="N58" s="862"/>
      <c r="O58" s="862"/>
      <c r="P58" s="854" t="str">
        <f>cst_wskakunin_20kouzou101_KOUZOUSEKKEI_KOUFU_NO</f>
        <v/>
      </c>
      <c r="Q58" s="854"/>
      <c r="R58" s="854"/>
      <c r="S58" s="854"/>
      <c r="T58" s="854"/>
      <c r="U58" s="854"/>
      <c r="V58" s="854"/>
      <c r="W58" s="854"/>
      <c r="X58" s="854"/>
      <c r="Y58" s="854"/>
      <c r="Z58" s="854"/>
      <c r="AA58" s="259" t="s">
        <v>439</v>
      </c>
      <c r="AB58" s="257"/>
      <c r="AC58" s="257"/>
      <c r="AD58" s="257"/>
    </row>
    <row r="59" spans="3:34" s="256" customFormat="1" ht="15" customHeight="1" x14ac:dyDescent="0.15">
      <c r="D59" s="256" t="s">
        <v>642</v>
      </c>
      <c r="I59" s="257"/>
      <c r="J59" s="257"/>
      <c r="K59" s="257"/>
      <c r="L59" s="257"/>
      <c r="M59" s="257"/>
      <c r="N59" s="257"/>
      <c r="O59" s="257"/>
      <c r="P59" s="257"/>
      <c r="Q59" s="257"/>
      <c r="R59" s="257"/>
      <c r="S59" s="257"/>
      <c r="T59" s="257"/>
      <c r="U59" s="257"/>
      <c r="V59" s="257"/>
      <c r="W59" s="257"/>
      <c r="X59" s="257"/>
      <c r="Y59" s="257"/>
      <c r="Z59" s="257"/>
      <c r="AA59" s="257"/>
      <c r="AB59" s="257"/>
      <c r="AC59" s="257"/>
      <c r="AD59" s="257"/>
    </row>
    <row r="60" spans="3:34" s="256" customFormat="1" ht="15" customHeight="1" x14ac:dyDescent="0.15">
      <c r="D60" s="256" t="s">
        <v>639</v>
      </c>
      <c r="I60" s="257"/>
      <c r="J60" s="257"/>
      <c r="K60" s="257"/>
      <c r="L60" s="257"/>
      <c r="M60" s="257"/>
      <c r="N60" s="257"/>
      <c r="O60" s="257"/>
      <c r="P60" s="854" t="str">
        <f>cst_wskakunin_20kouzou301_NAME</f>
        <v/>
      </c>
      <c r="Q60" s="854"/>
      <c r="R60" s="854"/>
      <c r="S60" s="854"/>
      <c r="T60" s="854"/>
      <c r="U60" s="854"/>
      <c r="V60" s="854"/>
      <c r="W60" s="854"/>
      <c r="X60" s="854"/>
      <c r="Y60" s="854"/>
      <c r="Z60" s="854"/>
      <c r="AA60" s="257"/>
      <c r="AB60" s="257"/>
      <c r="AC60" s="257"/>
      <c r="AD60" s="257"/>
    </row>
    <row r="61" spans="3:34" s="256" customFormat="1" ht="15" customHeight="1" x14ac:dyDescent="0.15">
      <c r="D61" s="257" t="s">
        <v>640</v>
      </c>
      <c r="I61" s="862" t="s">
        <v>641</v>
      </c>
      <c r="J61" s="862"/>
      <c r="K61" s="862"/>
      <c r="L61" s="862"/>
      <c r="M61" s="862"/>
      <c r="N61" s="862"/>
      <c r="O61" s="862"/>
      <c r="P61" s="854" t="str">
        <f>cst_wskakunin_20kouzou301_KOUZOUSEKKEI_KOUFU_NO</f>
        <v/>
      </c>
      <c r="Q61" s="854"/>
      <c r="R61" s="854"/>
      <c r="S61" s="854"/>
      <c r="T61" s="854"/>
      <c r="U61" s="854"/>
      <c r="V61" s="854"/>
      <c r="W61" s="854"/>
      <c r="X61" s="854"/>
      <c r="Y61" s="854"/>
      <c r="Z61" s="854"/>
      <c r="AA61" s="259" t="s">
        <v>439</v>
      </c>
      <c r="AB61" s="257"/>
      <c r="AC61" s="257"/>
      <c r="AD61" s="257"/>
    </row>
    <row r="62" spans="3:34" s="256" customFormat="1" ht="15" customHeight="1" x14ac:dyDescent="0.15">
      <c r="D62" s="256" t="s">
        <v>643</v>
      </c>
      <c r="I62" s="257"/>
      <c r="J62" s="257"/>
      <c r="K62" s="257"/>
      <c r="L62" s="257"/>
      <c r="M62" s="257"/>
      <c r="N62" s="257"/>
      <c r="O62" s="257"/>
      <c r="P62" s="257"/>
      <c r="Q62" s="257"/>
      <c r="R62" s="257"/>
      <c r="S62" s="257"/>
      <c r="T62" s="257"/>
      <c r="U62" s="257"/>
      <c r="V62" s="257"/>
      <c r="W62" s="257"/>
      <c r="X62" s="257"/>
      <c r="Y62" s="257"/>
      <c r="Z62" s="257"/>
      <c r="AA62" s="257"/>
      <c r="AB62" s="257"/>
      <c r="AC62" s="257"/>
      <c r="AD62" s="257"/>
    </row>
    <row r="63" spans="3:34" s="256" customFormat="1" ht="15" customHeight="1" x14ac:dyDescent="0.15">
      <c r="D63" s="256" t="s">
        <v>639</v>
      </c>
      <c r="I63" s="257"/>
      <c r="J63" s="257"/>
      <c r="K63" s="257"/>
      <c r="L63" s="257"/>
      <c r="M63" s="257"/>
      <c r="N63" s="257"/>
      <c r="O63" s="257"/>
      <c r="P63" s="854" t="str">
        <f>cst_wskakunin_20setubi101_NAME</f>
        <v/>
      </c>
      <c r="Q63" s="854"/>
      <c r="R63" s="854"/>
      <c r="S63" s="854"/>
      <c r="T63" s="854"/>
      <c r="U63" s="854"/>
      <c r="V63" s="854"/>
      <c r="W63" s="854"/>
      <c r="X63" s="854"/>
      <c r="Y63" s="854"/>
      <c r="Z63" s="854"/>
      <c r="AA63" s="257"/>
      <c r="AB63" s="257"/>
      <c r="AC63" s="257"/>
      <c r="AD63" s="257"/>
    </row>
    <row r="64" spans="3:34" s="256" customFormat="1" ht="15" customHeight="1" x14ac:dyDescent="0.15">
      <c r="D64" s="257" t="s">
        <v>640</v>
      </c>
      <c r="I64" s="862" t="s">
        <v>644</v>
      </c>
      <c r="J64" s="862"/>
      <c r="K64" s="862"/>
      <c r="L64" s="862"/>
      <c r="M64" s="862"/>
      <c r="N64" s="862"/>
      <c r="O64" s="862"/>
      <c r="P64" s="854" t="str">
        <f>cst_wskakunin_20setubi101_SETUBISEKKEI_KOUFU_NO</f>
        <v/>
      </c>
      <c r="Q64" s="854"/>
      <c r="R64" s="854"/>
      <c r="S64" s="854"/>
      <c r="T64" s="854"/>
      <c r="U64" s="854"/>
      <c r="V64" s="854"/>
      <c r="W64" s="854"/>
      <c r="X64" s="854"/>
      <c r="Y64" s="854"/>
      <c r="Z64" s="854"/>
      <c r="AA64" s="259" t="s">
        <v>439</v>
      </c>
      <c r="AB64" s="257"/>
      <c r="AC64" s="257"/>
      <c r="AD64" s="257"/>
    </row>
    <row r="65" spans="2:30" s="256" customFormat="1" ht="15" customHeight="1" x14ac:dyDescent="0.15">
      <c r="D65" s="256" t="s">
        <v>639</v>
      </c>
      <c r="I65" s="257"/>
      <c r="J65" s="257"/>
      <c r="K65" s="257"/>
      <c r="L65" s="257"/>
      <c r="M65" s="257"/>
      <c r="N65" s="257"/>
      <c r="O65" s="257"/>
      <c r="P65" s="854" t="str">
        <f>cst_wskakunin_20setubi102_NAME</f>
        <v/>
      </c>
      <c r="Q65" s="854"/>
      <c r="R65" s="854"/>
      <c r="S65" s="854"/>
      <c r="T65" s="854"/>
      <c r="U65" s="854"/>
      <c r="V65" s="854"/>
      <c r="W65" s="854"/>
      <c r="X65" s="854"/>
      <c r="Y65" s="854"/>
      <c r="Z65" s="854"/>
      <c r="AA65" s="257"/>
      <c r="AB65" s="257"/>
      <c r="AC65" s="257"/>
      <c r="AD65" s="257"/>
    </row>
    <row r="66" spans="2:30" s="256" customFormat="1" ht="15" customHeight="1" x14ac:dyDescent="0.15">
      <c r="D66" s="257" t="s">
        <v>640</v>
      </c>
      <c r="I66" s="862" t="s">
        <v>644</v>
      </c>
      <c r="J66" s="862"/>
      <c r="K66" s="862"/>
      <c r="L66" s="862"/>
      <c r="M66" s="862"/>
      <c r="N66" s="862"/>
      <c r="O66" s="862"/>
      <c r="P66" s="854" t="str">
        <f>cst_wskakunin_20setubi102_SETUBISEKKEI_KOUFU_NO</f>
        <v/>
      </c>
      <c r="Q66" s="854"/>
      <c r="R66" s="854"/>
      <c r="S66" s="854"/>
      <c r="T66" s="854"/>
      <c r="U66" s="854"/>
      <c r="V66" s="854"/>
      <c r="W66" s="854"/>
      <c r="X66" s="854"/>
      <c r="Y66" s="854"/>
      <c r="Z66" s="854"/>
      <c r="AA66" s="259" t="s">
        <v>439</v>
      </c>
      <c r="AB66" s="257"/>
      <c r="AC66" s="257"/>
      <c r="AD66" s="257"/>
    </row>
    <row r="67" spans="2:30" s="256" customFormat="1" ht="15" customHeight="1" x14ac:dyDescent="0.15">
      <c r="D67" s="256" t="s">
        <v>639</v>
      </c>
      <c r="I67" s="257"/>
      <c r="J67" s="257"/>
      <c r="K67" s="257"/>
      <c r="L67" s="257"/>
      <c r="M67" s="257"/>
      <c r="N67" s="257"/>
      <c r="O67" s="257"/>
      <c r="P67" s="854" t="str">
        <f>cst_wskakunin_20setubi103_NAME</f>
        <v/>
      </c>
      <c r="Q67" s="854"/>
      <c r="R67" s="854"/>
      <c r="S67" s="854"/>
      <c r="T67" s="854"/>
      <c r="U67" s="854"/>
      <c r="V67" s="854"/>
      <c r="W67" s="854"/>
      <c r="X67" s="854"/>
      <c r="Y67" s="854"/>
      <c r="Z67" s="854"/>
      <c r="AA67" s="257"/>
      <c r="AB67" s="257"/>
      <c r="AC67" s="257"/>
      <c r="AD67" s="257"/>
    </row>
    <row r="68" spans="2:30" s="256" customFormat="1" ht="15" customHeight="1" x14ac:dyDescent="0.15">
      <c r="D68" s="257" t="s">
        <v>640</v>
      </c>
      <c r="I68" s="862" t="s">
        <v>644</v>
      </c>
      <c r="J68" s="862"/>
      <c r="K68" s="862"/>
      <c r="L68" s="862"/>
      <c r="M68" s="862"/>
      <c r="N68" s="862"/>
      <c r="O68" s="862"/>
      <c r="P68" s="854" t="str">
        <f>cst_wskakunin_20setubi103_SETUBISEKKEI_KOUFU_NO</f>
        <v/>
      </c>
      <c r="Q68" s="854"/>
      <c r="R68" s="854"/>
      <c r="S68" s="854"/>
      <c r="T68" s="854"/>
      <c r="U68" s="854"/>
      <c r="V68" s="854"/>
      <c r="W68" s="854"/>
      <c r="X68" s="854"/>
      <c r="Y68" s="854"/>
      <c r="Z68" s="854"/>
      <c r="AA68" s="259" t="s">
        <v>439</v>
      </c>
      <c r="AB68" s="257"/>
      <c r="AC68" s="257"/>
      <c r="AD68" s="257"/>
    </row>
    <row r="69" spans="2:30" s="256" customFormat="1" ht="15" customHeight="1" x14ac:dyDescent="0.15">
      <c r="D69" s="256" t="s">
        <v>645</v>
      </c>
      <c r="I69" s="257"/>
      <c r="J69" s="257"/>
      <c r="K69" s="257"/>
      <c r="L69" s="257"/>
      <c r="M69" s="257"/>
      <c r="N69" s="257"/>
      <c r="O69" s="257"/>
      <c r="P69" s="257"/>
      <c r="Q69" s="257"/>
      <c r="R69" s="257"/>
      <c r="S69" s="257"/>
      <c r="T69" s="257"/>
      <c r="U69" s="257"/>
      <c r="V69" s="257"/>
      <c r="W69" s="257"/>
      <c r="X69" s="257"/>
      <c r="Y69" s="257"/>
      <c r="Z69" s="257"/>
      <c r="AA69" s="257"/>
      <c r="AB69" s="257"/>
      <c r="AC69" s="257"/>
      <c r="AD69" s="257"/>
    </row>
    <row r="70" spans="2:30" s="256" customFormat="1" ht="15" customHeight="1" x14ac:dyDescent="0.15">
      <c r="D70" s="256" t="s">
        <v>639</v>
      </c>
      <c r="I70" s="257"/>
      <c r="J70" s="257"/>
      <c r="K70" s="257"/>
      <c r="L70" s="257"/>
      <c r="M70" s="257"/>
      <c r="N70" s="257"/>
      <c r="O70" s="257"/>
      <c r="P70" s="854" t="str">
        <f>cst_wskakunin_20setubi301_NAME</f>
        <v/>
      </c>
      <c r="Q70" s="854"/>
      <c r="R70" s="854"/>
      <c r="S70" s="854"/>
      <c r="T70" s="854"/>
      <c r="U70" s="854"/>
      <c r="V70" s="854"/>
      <c r="W70" s="854"/>
      <c r="X70" s="854"/>
      <c r="Y70" s="854"/>
      <c r="Z70" s="854"/>
      <c r="AA70" s="257"/>
      <c r="AB70" s="257"/>
      <c r="AC70" s="257"/>
      <c r="AD70" s="257"/>
    </row>
    <row r="71" spans="2:30" s="256" customFormat="1" ht="15" customHeight="1" x14ac:dyDescent="0.15">
      <c r="D71" s="257" t="s">
        <v>640</v>
      </c>
      <c r="I71" s="862" t="s">
        <v>644</v>
      </c>
      <c r="J71" s="862"/>
      <c r="K71" s="862"/>
      <c r="L71" s="862"/>
      <c r="M71" s="862"/>
      <c r="N71" s="862"/>
      <c r="O71" s="862"/>
      <c r="P71" s="854" t="str">
        <f>cst_wskakunin_20setubi301_SETUBISEKKEI_KOUFU_NO</f>
        <v/>
      </c>
      <c r="Q71" s="854"/>
      <c r="R71" s="854"/>
      <c r="S71" s="854"/>
      <c r="T71" s="854"/>
      <c r="U71" s="854"/>
      <c r="V71" s="854"/>
      <c r="W71" s="854"/>
      <c r="X71" s="854"/>
      <c r="Y71" s="854"/>
      <c r="Z71" s="854"/>
      <c r="AA71" s="259" t="s">
        <v>439</v>
      </c>
      <c r="AB71" s="257"/>
      <c r="AC71" s="257"/>
      <c r="AD71" s="257"/>
    </row>
    <row r="72" spans="2:30" s="256" customFormat="1" ht="15" customHeight="1" x14ac:dyDescent="0.15">
      <c r="D72" s="256" t="s">
        <v>639</v>
      </c>
      <c r="I72" s="257"/>
      <c r="J72" s="257"/>
      <c r="K72" s="257"/>
      <c r="L72" s="257"/>
      <c r="M72" s="257"/>
      <c r="N72" s="257"/>
      <c r="O72" s="257"/>
      <c r="P72" s="854" t="str">
        <f>cst_wskakunin_20setubi302_NAME</f>
        <v/>
      </c>
      <c r="Q72" s="854"/>
      <c r="R72" s="854"/>
      <c r="S72" s="854"/>
      <c r="T72" s="854"/>
      <c r="U72" s="854"/>
      <c r="V72" s="854"/>
      <c r="W72" s="854"/>
      <c r="X72" s="854"/>
      <c r="Y72" s="854"/>
      <c r="Z72" s="854"/>
      <c r="AA72" s="257"/>
      <c r="AB72" s="257"/>
      <c r="AC72" s="257"/>
      <c r="AD72" s="257"/>
    </row>
    <row r="73" spans="2:30" s="256" customFormat="1" ht="15" customHeight="1" x14ac:dyDescent="0.15">
      <c r="D73" s="257" t="s">
        <v>640</v>
      </c>
      <c r="I73" s="862" t="s">
        <v>644</v>
      </c>
      <c r="J73" s="862"/>
      <c r="K73" s="862"/>
      <c r="L73" s="862"/>
      <c r="M73" s="862"/>
      <c r="N73" s="862"/>
      <c r="O73" s="862"/>
      <c r="P73" s="854" t="str">
        <f>cst_wskakunin_20setubi302_SETUBISEKKEI_KOUFU_NO</f>
        <v/>
      </c>
      <c r="Q73" s="854"/>
      <c r="R73" s="854"/>
      <c r="S73" s="854"/>
      <c r="T73" s="854"/>
      <c r="U73" s="854"/>
      <c r="V73" s="854"/>
      <c r="W73" s="854"/>
      <c r="X73" s="854"/>
      <c r="Y73" s="854"/>
      <c r="Z73" s="854"/>
      <c r="AA73" s="259" t="s">
        <v>439</v>
      </c>
      <c r="AB73" s="257"/>
      <c r="AC73" s="257"/>
      <c r="AD73" s="257"/>
    </row>
    <row r="74" spans="2:30" s="256" customFormat="1" ht="15" customHeight="1" x14ac:dyDescent="0.15">
      <c r="D74" s="256" t="s">
        <v>639</v>
      </c>
      <c r="I74" s="257"/>
      <c r="J74" s="257"/>
      <c r="K74" s="257"/>
      <c r="L74" s="257"/>
      <c r="M74" s="257"/>
      <c r="N74" s="257"/>
      <c r="O74" s="257"/>
      <c r="P74" s="854" t="str">
        <f>cst_wskakunin_20setubi303_NAME</f>
        <v/>
      </c>
      <c r="Q74" s="854"/>
      <c r="R74" s="854"/>
      <c r="S74" s="854"/>
      <c r="T74" s="854"/>
      <c r="U74" s="854"/>
      <c r="V74" s="854"/>
      <c r="W74" s="854"/>
      <c r="X74" s="854"/>
      <c r="Y74" s="854"/>
      <c r="Z74" s="854"/>
      <c r="AA74" s="257"/>
      <c r="AB74" s="257"/>
      <c r="AC74" s="257"/>
      <c r="AD74" s="257"/>
    </row>
    <row r="75" spans="2:30" s="256" customFormat="1" ht="15" customHeight="1" x14ac:dyDescent="0.15">
      <c r="B75" s="261"/>
      <c r="C75" s="261"/>
      <c r="D75" s="262" t="s">
        <v>640</v>
      </c>
      <c r="E75" s="261"/>
      <c r="F75" s="261"/>
      <c r="G75" s="261"/>
      <c r="H75" s="261"/>
      <c r="I75" s="863" t="s">
        <v>644</v>
      </c>
      <c r="J75" s="863"/>
      <c r="K75" s="863"/>
      <c r="L75" s="863"/>
      <c r="M75" s="863"/>
      <c r="N75" s="863"/>
      <c r="O75" s="863"/>
      <c r="P75" s="858" t="str">
        <f>cst_wskakunin_20setubi303_SETUBISEKKEI_KOUFU_NO</f>
        <v/>
      </c>
      <c r="Q75" s="858"/>
      <c r="R75" s="858"/>
      <c r="S75" s="858"/>
      <c r="T75" s="858"/>
      <c r="U75" s="858"/>
      <c r="V75" s="858"/>
      <c r="W75" s="858"/>
      <c r="X75" s="858"/>
      <c r="Y75" s="858"/>
      <c r="Z75" s="858"/>
      <c r="AA75" s="264" t="s">
        <v>439</v>
      </c>
      <c r="AB75" s="262"/>
      <c r="AC75" s="262"/>
      <c r="AD75" s="262"/>
    </row>
    <row r="76" spans="2:30" ht="15" customHeight="1" x14ac:dyDescent="0.15">
      <c r="C76" s="12" t="s">
        <v>646</v>
      </c>
    </row>
    <row r="77" spans="2:30" ht="15" customHeight="1" x14ac:dyDescent="0.15">
      <c r="C77" s="252" t="s">
        <v>647</v>
      </c>
    </row>
    <row r="78" spans="2:30" s="256" customFormat="1" ht="15" customHeight="1" x14ac:dyDescent="0.15">
      <c r="D78" s="257" t="s">
        <v>639</v>
      </c>
      <c r="F78" s="257"/>
      <c r="G78" s="257"/>
      <c r="H78" s="257"/>
      <c r="I78" s="854" t="str">
        <f>cst_wskakunin_iken1_NAME</f>
        <v/>
      </c>
      <c r="J78" s="854"/>
      <c r="K78" s="854"/>
      <c r="L78" s="854"/>
      <c r="M78" s="854"/>
      <c r="N78" s="854"/>
      <c r="O78" s="854"/>
      <c r="P78" s="854"/>
      <c r="Q78" s="854"/>
      <c r="R78" s="854"/>
      <c r="S78" s="854"/>
      <c r="T78" s="854"/>
      <c r="U78" s="854"/>
      <c r="V78" s="854"/>
      <c r="W78" s="854"/>
      <c r="X78" s="854"/>
      <c r="Y78" s="854"/>
      <c r="Z78" s="854"/>
      <c r="AA78" s="854"/>
      <c r="AB78" s="854"/>
      <c r="AC78" s="854"/>
      <c r="AD78" s="854"/>
    </row>
    <row r="79" spans="2:30" s="256" customFormat="1" ht="15" customHeight="1" x14ac:dyDescent="0.15">
      <c r="D79" s="257" t="s">
        <v>648</v>
      </c>
      <c r="E79" s="257"/>
      <c r="F79" s="257"/>
      <c r="G79" s="257"/>
      <c r="H79" s="257"/>
      <c r="I79" s="854" t="str">
        <f>cst_wskakunin_iken1_JIMU_NAME</f>
        <v/>
      </c>
      <c r="J79" s="854"/>
      <c r="K79" s="854"/>
      <c r="L79" s="854"/>
      <c r="M79" s="854"/>
      <c r="N79" s="854"/>
      <c r="O79" s="854"/>
      <c r="P79" s="854"/>
      <c r="Q79" s="854"/>
      <c r="R79" s="854"/>
      <c r="S79" s="854"/>
      <c r="T79" s="854"/>
      <c r="U79" s="854"/>
      <c r="V79" s="854"/>
      <c r="W79" s="854"/>
      <c r="X79" s="854"/>
      <c r="Y79" s="854"/>
      <c r="Z79" s="854"/>
      <c r="AA79" s="854"/>
      <c r="AB79" s="854"/>
      <c r="AC79" s="854"/>
      <c r="AD79" s="854"/>
    </row>
    <row r="80" spans="2:30" s="256" customFormat="1" ht="15" customHeight="1" x14ac:dyDescent="0.15">
      <c r="D80" s="257" t="s">
        <v>621</v>
      </c>
      <c r="I80" s="854" t="str">
        <f>cst_wskakunin_iken1_ZIP</f>
        <v/>
      </c>
      <c r="J80" s="854"/>
      <c r="K80" s="854"/>
    </row>
    <row r="81" spans="2:30" s="256" customFormat="1" ht="15" customHeight="1" x14ac:dyDescent="0.15">
      <c r="D81" s="256" t="s">
        <v>649</v>
      </c>
      <c r="I81" s="861" t="str">
        <f>cst_wskakunin_iken1__address</f>
        <v/>
      </c>
      <c r="J81" s="861"/>
      <c r="K81" s="861"/>
      <c r="L81" s="861"/>
      <c r="M81" s="861"/>
      <c r="N81" s="861"/>
      <c r="O81" s="861"/>
      <c r="P81" s="861"/>
      <c r="Q81" s="861"/>
      <c r="R81" s="861"/>
      <c r="S81" s="861"/>
      <c r="T81" s="861"/>
      <c r="U81" s="861"/>
      <c r="V81" s="861"/>
      <c r="W81" s="861"/>
      <c r="X81" s="861"/>
      <c r="Y81" s="861"/>
      <c r="Z81" s="861"/>
      <c r="AA81" s="861"/>
      <c r="AB81" s="861"/>
      <c r="AC81" s="861"/>
      <c r="AD81" s="861"/>
    </row>
    <row r="82" spans="2:30" s="256" customFormat="1" ht="15" customHeight="1" x14ac:dyDescent="0.15">
      <c r="D82" s="257" t="s">
        <v>650</v>
      </c>
      <c r="F82" s="257"/>
      <c r="G82" s="257"/>
      <c r="H82" s="257"/>
      <c r="I82" s="854" t="str">
        <f>cst_wskakunin_iken1_TEL</f>
        <v/>
      </c>
      <c r="J82" s="854"/>
      <c r="K82" s="854"/>
      <c r="L82" s="854"/>
      <c r="M82" s="854"/>
      <c r="N82" s="854"/>
    </row>
    <row r="83" spans="2:30" s="256" customFormat="1" ht="15" customHeight="1" x14ac:dyDescent="0.15">
      <c r="D83" s="257" t="s">
        <v>651</v>
      </c>
      <c r="F83" s="257"/>
      <c r="G83" s="257"/>
      <c r="H83" s="257"/>
      <c r="I83" s="854" t="str">
        <f>cst_wskakunin_iken1_IKEN_NO</f>
        <v/>
      </c>
      <c r="J83" s="854"/>
      <c r="K83" s="854"/>
      <c r="L83" s="854"/>
      <c r="M83" s="854"/>
      <c r="N83" s="854"/>
      <c r="O83" s="854"/>
      <c r="P83" s="854"/>
      <c r="Q83" s="854"/>
      <c r="R83" s="854"/>
      <c r="S83" s="854"/>
      <c r="T83" s="854"/>
      <c r="U83" s="854"/>
      <c r="V83" s="854"/>
      <c r="W83" s="854"/>
      <c r="X83" s="854"/>
      <c r="Y83" s="854"/>
      <c r="Z83" s="854"/>
      <c r="AA83" s="854"/>
      <c r="AB83" s="854"/>
      <c r="AC83" s="854"/>
      <c r="AD83" s="854"/>
    </row>
    <row r="84" spans="2:30" ht="15" customHeight="1" x14ac:dyDescent="0.15">
      <c r="B84" s="265"/>
      <c r="C84" s="265"/>
      <c r="D84" s="265" t="s">
        <v>652</v>
      </c>
      <c r="E84" s="265"/>
      <c r="F84" s="265"/>
      <c r="G84" s="265"/>
      <c r="H84" s="265"/>
      <c r="I84" s="265"/>
      <c r="J84" s="265"/>
      <c r="K84" s="864" t="str">
        <f>cst_wskakunin_iken1_DOC</f>
        <v/>
      </c>
      <c r="L84" s="864"/>
      <c r="M84" s="864"/>
      <c r="N84" s="864"/>
      <c r="O84" s="864"/>
      <c r="P84" s="864"/>
      <c r="Q84" s="864"/>
      <c r="R84" s="864"/>
      <c r="S84" s="864"/>
      <c r="T84" s="864"/>
      <c r="U84" s="864"/>
      <c r="V84" s="864"/>
      <c r="W84" s="864"/>
      <c r="X84" s="864"/>
      <c r="Y84" s="864"/>
      <c r="Z84" s="864"/>
      <c r="AA84" s="864"/>
      <c r="AB84" s="864"/>
      <c r="AC84" s="864"/>
      <c r="AD84" s="864"/>
    </row>
    <row r="85" spans="2:30" ht="15" customHeight="1" x14ac:dyDescent="0.15">
      <c r="C85" s="252" t="s">
        <v>653</v>
      </c>
    </row>
    <row r="86" spans="2:30" s="256" customFormat="1" ht="15" customHeight="1" x14ac:dyDescent="0.15">
      <c r="D86" s="257" t="s">
        <v>639</v>
      </c>
      <c r="F86" s="257"/>
      <c r="G86" s="257"/>
      <c r="H86" s="257"/>
      <c r="I86" s="854" t="str">
        <f>cst_wskakunin_iken2_NAME</f>
        <v/>
      </c>
      <c r="J86" s="854"/>
      <c r="K86" s="854"/>
      <c r="L86" s="854"/>
      <c r="M86" s="854"/>
      <c r="N86" s="854"/>
      <c r="O86" s="854"/>
      <c r="P86" s="854"/>
      <c r="Q86" s="854"/>
      <c r="R86" s="854"/>
      <c r="S86" s="854"/>
      <c r="T86" s="854"/>
      <c r="U86" s="854"/>
      <c r="V86" s="854"/>
      <c r="W86" s="854"/>
      <c r="X86" s="854"/>
      <c r="Y86" s="854"/>
      <c r="Z86" s="854"/>
      <c r="AA86" s="854"/>
      <c r="AB86" s="854"/>
      <c r="AC86" s="854"/>
      <c r="AD86" s="854"/>
    </row>
    <row r="87" spans="2:30" s="256" customFormat="1" ht="15" customHeight="1" x14ac:dyDescent="0.15">
      <c r="D87" s="257" t="s">
        <v>648</v>
      </c>
      <c r="E87" s="257"/>
      <c r="F87" s="257"/>
      <c r="G87" s="257"/>
      <c r="H87" s="257"/>
      <c r="I87" s="854" t="str">
        <f>cst_wskakunin_iken2_JIMU_NAME</f>
        <v/>
      </c>
      <c r="J87" s="854"/>
      <c r="K87" s="854"/>
      <c r="L87" s="854"/>
      <c r="M87" s="854"/>
      <c r="N87" s="854"/>
      <c r="O87" s="854"/>
      <c r="P87" s="854"/>
      <c r="Q87" s="854"/>
      <c r="R87" s="854"/>
      <c r="S87" s="854"/>
      <c r="T87" s="854"/>
      <c r="U87" s="854"/>
      <c r="V87" s="854"/>
      <c r="W87" s="854"/>
      <c r="X87" s="854"/>
      <c r="Y87" s="854"/>
      <c r="Z87" s="854"/>
      <c r="AA87" s="854"/>
      <c r="AB87" s="854"/>
      <c r="AC87" s="854"/>
      <c r="AD87" s="854"/>
    </row>
    <row r="88" spans="2:30" s="256" customFormat="1" ht="15" customHeight="1" x14ac:dyDescent="0.15">
      <c r="D88" s="257" t="s">
        <v>621</v>
      </c>
      <c r="I88" s="854" t="str">
        <f>cst_wskakunin_iken2_ZIP</f>
        <v/>
      </c>
      <c r="J88" s="854"/>
      <c r="K88" s="854"/>
    </row>
    <row r="89" spans="2:30" s="256" customFormat="1" ht="15" customHeight="1" x14ac:dyDescent="0.15">
      <c r="D89" s="256" t="s">
        <v>649</v>
      </c>
      <c r="I89" s="854" t="str">
        <f>cst_wskakunin_iken2__address</f>
        <v/>
      </c>
      <c r="J89" s="854"/>
      <c r="K89" s="854"/>
      <c r="L89" s="854"/>
      <c r="M89" s="854"/>
      <c r="N89" s="854"/>
      <c r="O89" s="854"/>
      <c r="P89" s="854"/>
      <c r="Q89" s="854"/>
      <c r="R89" s="854"/>
      <c r="S89" s="854"/>
      <c r="T89" s="854"/>
      <c r="U89" s="854"/>
      <c r="V89" s="854"/>
      <c r="W89" s="854"/>
      <c r="X89" s="854"/>
      <c r="Y89" s="854"/>
      <c r="Z89" s="854"/>
      <c r="AA89" s="854"/>
      <c r="AB89" s="854"/>
      <c r="AC89" s="854"/>
      <c r="AD89" s="854"/>
    </row>
    <row r="90" spans="2:30" s="256" customFormat="1" ht="15" customHeight="1" x14ac:dyDescent="0.15">
      <c r="D90" s="257" t="s">
        <v>650</v>
      </c>
      <c r="F90" s="257"/>
      <c r="G90" s="257"/>
      <c r="H90" s="257"/>
      <c r="I90" s="854" t="str">
        <f>cst_wskakunin_iken2_TEL</f>
        <v/>
      </c>
      <c r="J90" s="854"/>
      <c r="K90" s="854"/>
      <c r="L90" s="854"/>
      <c r="M90" s="854"/>
      <c r="N90" s="854"/>
    </row>
    <row r="91" spans="2:30" s="256" customFormat="1" ht="15" customHeight="1" x14ac:dyDescent="0.15">
      <c r="D91" s="257" t="s">
        <v>651</v>
      </c>
      <c r="F91" s="257"/>
      <c r="G91" s="257"/>
      <c r="H91" s="257"/>
      <c r="I91" s="854" t="str">
        <f>cst_wskakunin_iken2_IKEN_NO</f>
        <v/>
      </c>
      <c r="J91" s="854"/>
      <c r="K91" s="854"/>
      <c r="L91" s="854"/>
      <c r="M91" s="854"/>
      <c r="N91" s="854"/>
      <c r="O91" s="854"/>
      <c r="P91" s="854"/>
      <c r="Q91" s="854"/>
      <c r="R91" s="854"/>
      <c r="S91" s="854"/>
      <c r="T91" s="854"/>
      <c r="U91" s="854"/>
      <c r="V91" s="854"/>
      <c r="W91" s="854"/>
      <c r="X91" s="854"/>
      <c r="Y91" s="854"/>
      <c r="Z91" s="854"/>
      <c r="AA91" s="854"/>
      <c r="AB91" s="854"/>
      <c r="AC91" s="854"/>
      <c r="AD91" s="854"/>
    </row>
    <row r="92" spans="2:30" ht="15" customHeight="1" x14ac:dyDescent="0.15">
      <c r="B92" s="265"/>
      <c r="C92" s="265"/>
      <c r="D92" s="265" t="s">
        <v>652</v>
      </c>
      <c r="E92" s="265"/>
      <c r="F92" s="265"/>
      <c r="G92" s="265"/>
      <c r="H92" s="265"/>
      <c r="I92" s="265"/>
      <c r="J92" s="265"/>
      <c r="K92" s="864" t="str">
        <f>cst_wskakunin_iken2_DOC</f>
        <v/>
      </c>
      <c r="L92" s="864"/>
      <c r="M92" s="864"/>
      <c r="N92" s="864"/>
      <c r="O92" s="864"/>
      <c r="P92" s="864"/>
      <c r="Q92" s="864"/>
      <c r="R92" s="864"/>
      <c r="S92" s="864"/>
      <c r="T92" s="864"/>
      <c r="U92" s="864"/>
      <c r="V92" s="864"/>
      <c r="W92" s="864"/>
      <c r="X92" s="864"/>
      <c r="Y92" s="864"/>
      <c r="Z92" s="864"/>
      <c r="AA92" s="864"/>
      <c r="AB92" s="864"/>
      <c r="AC92" s="864"/>
      <c r="AD92" s="864"/>
    </row>
    <row r="93" spans="2:30" s="256" customFormat="1" ht="15" customHeight="1" x14ac:dyDescent="0.15">
      <c r="D93" s="257" t="s">
        <v>639</v>
      </c>
      <c r="F93" s="257"/>
      <c r="G93" s="257"/>
      <c r="H93" s="257"/>
      <c r="I93" s="854" t="str">
        <f>cst_wskakunin_iken3_NAME</f>
        <v/>
      </c>
      <c r="J93" s="854"/>
      <c r="K93" s="854"/>
      <c r="L93" s="854"/>
      <c r="M93" s="854"/>
      <c r="N93" s="854"/>
      <c r="O93" s="854"/>
      <c r="P93" s="854"/>
      <c r="Q93" s="854"/>
      <c r="R93" s="854"/>
      <c r="S93" s="854"/>
      <c r="T93" s="854"/>
      <c r="U93" s="854"/>
      <c r="V93" s="854"/>
      <c r="W93" s="854"/>
      <c r="X93" s="854"/>
      <c r="Y93" s="854"/>
      <c r="Z93" s="854"/>
      <c r="AA93" s="854"/>
      <c r="AB93" s="854"/>
      <c r="AC93" s="854"/>
      <c r="AD93" s="854"/>
    </row>
    <row r="94" spans="2:30" s="256" customFormat="1" ht="15" customHeight="1" x14ac:dyDescent="0.15">
      <c r="D94" s="257" t="s">
        <v>648</v>
      </c>
      <c r="E94" s="257"/>
      <c r="F94" s="257"/>
      <c r="G94" s="257"/>
      <c r="H94" s="257"/>
      <c r="I94" s="854" t="str">
        <f>cst_wskakunin_iken3_JIMU_NAME</f>
        <v/>
      </c>
      <c r="J94" s="854"/>
      <c r="K94" s="854"/>
      <c r="L94" s="854"/>
      <c r="M94" s="854"/>
      <c r="N94" s="854"/>
      <c r="O94" s="854"/>
      <c r="P94" s="854"/>
      <c r="Q94" s="854"/>
      <c r="R94" s="854"/>
      <c r="S94" s="854"/>
      <c r="T94" s="854"/>
      <c r="U94" s="854"/>
      <c r="V94" s="854"/>
      <c r="W94" s="854"/>
      <c r="X94" s="854"/>
      <c r="Y94" s="854"/>
      <c r="Z94" s="854"/>
      <c r="AA94" s="854"/>
      <c r="AB94" s="854"/>
      <c r="AC94" s="854"/>
      <c r="AD94" s="854"/>
    </row>
    <row r="95" spans="2:30" s="256" customFormat="1" ht="15" customHeight="1" x14ac:dyDescent="0.15">
      <c r="D95" s="257" t="s">
        <v>621</v>
      </c>
      <c r="I95" s="854" t="str">
        <f>cst_wskakunin_iken3_ZIP</f>
        <v/>
      </c>
      <c r="J95" s="854"/>
      <c r="K95" s="854"/>
    </row>
    <row r="96" spans="2:30" s="256" customFormat="1" ht="15" customHeight="1" x14ac:dyDescent="0.15">
      <c r="D96" s="256" t="s">
        <v>649</v>
      </c>
      <c r="I96" s="854" t="str">
        <f>cst_wskakunin_iken3__address</f>
        <v/>
      </c>
      <c r="J96" s="854"/>
      <c r="K96" s="854"/>
      <c r="L96" s="854"/>
      <c r="M96" s="854"/>
      <c r="N96" s="854"/>
      <c r="O96" s="854"/>
      <c r="P96" s="854"/>
      <c r="Q96" s="854"/>
      <c r="R96" s="854"/>
      <c r="S96" s="854"/>
      <c r="T96" s="854"/>
      <c r="U96" s="854"/>
      <c r="V96" s="854"/>
      <c r="W96" s="854"/>
      <c r="X96" s="854"/>
      <c r="Y96" s="854"/>
      <c r="Z96" s="854"/>
      <c r="AA96" s="854"/>
      <c r="AB96" s="854"/>
      <c r="AC96" s="854"/>
      <c r="AD96" s="854"/>
    </row>
    <row r="97" spans="2:30" s="256" customFormat="1" ht="15" customHeight="1" x14ac:dyDescent="0.15">
      <c r="D97" s="257" t="s">
        <v>650</v>
      </c>
      <c r="F97" s="257"/>
      <c r="G97" s="257"/>
      <c r="H97" s="257"/>
      <c r="I97" s="854" t="str">
        <f>cst_wskakunin_iken3_TEL</f>
        <v/>
      </c>
      <c r="J97" s="854"/>
      <c r="K97" s="854"/>
      <c r="L97" s="854"/>
      <c r="M97" s="854"/>
      <c r="N97" s="854"/>
    </row>
    <row r="98" spans="2:30" s="256" customFormat="1" ht="15" customHeight="1" x14ac:dyDescent="0.15">
      <c r="D98" s="257" t="s">
        <v>651</v>
      </c>
      <c r="F98" s="257"/>
      <c r="G98" s="257"/>
      <c r="H98" s="257"/>
      <c r="I98" s="854" t="str">
        <f>cst_wskakunin_iken3_IKEN_NO</f>
        <v/>
      </c>
      <c r="J98" s="854"/>
      <c r="K98" s="854"/>
      <c r="L98" s="854"/>
      <c r="M98" s="854"/>
      <c r="N98" s="854"/>
      <c r="O98" s="854"/>
      <c r="P98" s="854"/>
      <c r="Q98" s="854"/>
      <c r="R98" s="854"/>
      <c r="S98" s="854"/>
      <c r="T98" s="854"/>
      <c r="U98" s="854"/>
      <c r="V98" s="854"/>
      <c r="W98" s="854"/>
      <c r="X98" s="854"/>
      <c r="Y98" s="854"/>
      <c r="Z98" s="854"/>
      <c r="AA98" s="854"/>
      <c r="AB98" s="854"/>
      <c r="AC98" s="854"/>
      <c r="AD98" s="854"/>
    </row>
    <row r="99" spans="2:30" ht="15" customHeight="1" x14ac:dyDescent="0.15">
      <c r="B99" s="265"/>
      <c r="C99" s="265"/>
      <c r="D99" s="265" t="s">
        <v>652</v>
      </c>
      <c r="E99" s="265"/>
      <c r="F99" s="265"/>
      <c r="G99" s="265"/>
      <c r="H99" s="265"/>
      <c r="I99" s="265"/>
      <c r="J99" s="265"/>
      <c r="K99" s="864" t="str">
        <f>cst_wskakunin_iken3_DOC</f>
        <v/>
      </c>
      <c r="L99" s="864"/>
      <c r="M99" s="864"/>
      <c r="N99" s="864"/>
      <c r="O99" s="864"/>
      <c r="P99" s="864"/>
      <c r="Q99" s="864"/>
      <c r="R99" s="864"/>
      <c r="S99" s="864"/>
      <c r="T99" s="864"/>
      <c r="U99" s="864"/>
      <c r="V99" s="864"/>
      <c r="W99" s="864"/>
      <c r="X99" s="864"/>
      <c r="Y99" s="864"/>
      <c r="Z99" s="864"/>
      <c r="AA99" s="864"/>
      <c r="AB99" s="864"/>
      <c r="AC99" s="864"/>
      <c r="AD99" s="864"/>
    </row>
    <row r="100" spans="2:30" s="256" customFormat="1" ht="15" customHeight="1" x14ac:dyDescent="0.15">
      <c r="D100" s="257" t="s">
        <v>639</v>
      </c>
      <c r="F100" s="257"/>
      <c r="G100" s="257"/>
      <c r="H100" s="257"/>
      <c r="I100" s="854" t="str">
        <f>cst_wskakunin_iken4_NAME</f>
        <v/>
      </c>
      <c r="J100" s="854"/>
      <c r="K100" s="854"/>
      <c r="L100" s="854"/>
      <c r="M100" s="854"/>
      <c r="N100" s="854"/>
      <c r="O100" s="854"/>
      <c r="P100" s="854"/>
      <c r="Q100" s="854"/>
      <c r="R100" s="854"/>
      <c r="S100" s="854"/>
      <c r="T100" s="854"/>
      <c r="U100" s="854"/>
      <c r="V100" s="854"/>
      <c r="W100" s="854"/>
      <c r="X100" s="854"/>
      <c r="Y100" s="854"/>
      <c r="Z100" s="854"/>
      <c r="AA100" s="854"/>
      <c r="AB100" s="854"/>
      <c r="AC100" s="854"/>
      <c r="AD100" s="854"/>
    </row>
    <row r="101" spans="2:30" s="256" customFormat="1" ht="15" customHeight="1" x14ac:dyDescent="0.15">
      <c r="D101" s="257" t="s">
        <v>648</v>
      </c>
      <c r="E101" s="257"/>
      <c r="F101" s="257"/>
      <c r="G101" s="257"/>
      <c r="H101" s="257"/>
      <c r="I101" s="854" t="str">
        <f>cst_wskakunin_iken4_JIMU_NAME</f>
        <v/>
      </c>
      <c r="J101" s="854"/>
      <c r="K101" s="854"/>
      <c r="L101" s="854"/>
      <c r="M101" s="854"/>
      <c r="N101" s="854"/>
      <c r="O101" s="854"/>
      <c r="P101" s="854"/>
      <c r="Q101" s="854"/>
      <c r="R101" s="854"/>
      <c r="S101" s="854"/>
      <c r="T101" s="854"/>
      <c r="U101" s="854"/>
      <c r="V101" s="854"/>
      <c r="W101" s="854"/>
      <c r="X101" s="854"/>
      <c r="Y101" s="854"/>
      <c r="Z101" s="854"/>
      <c r="AA101" s="854"/>
      <c r="AB101" s="854"/>
      <c r="AC101" s="854"/>
      <c r="AD101" s="854"/>
    </row>
    <row r="102" spans="2:30" s="256" customFormat="1" ht="15" customHeight="1" x14ac:dyDescent="0.15">
      <c r="D102" s="257" t="s">
        <v>621</v>
      </c>
      <c r="I102" s="854" t="str">
        <f>cst_wskakunin_iken4_ZIP</f>
        <v/>
      </c>
      <c r="J102" s="854"/>
      <c r="K102" s="854"/>
    </row>
    <row r="103" spans="2:30" s="256" customFormat="1" ht="15" customHeight="1" x14ac:dyDescent="0.15">
      <c r="D103" s="256" t="s">
        <v>649</v>
      </c>
      <c r="I103" s="854" t="str">
        <f>cst_wskakunin_iken4__address</f>
        <v/>
      </c>
      <c r="J103" s="854"/>
      <c r="K103" s="854"/>
      <c r="L103" s="854"/>
      <c r="M103" s="854"/>
      <c r="N103" s="854"/>
      <c r="O103" s="854"/>
      <c r="P103" s="854"/>
      <c r="Q103" s="854"/>
      <c r="R103" s="854"/>
      <c r="S103" s="854"/>
      <c r="T103" s="854"/>
      <c r="U103" s="854"/>
      <c r="V103" s="854"/>
      <c r="W103" s="854"/>
      <c r="X103" s="854"/>
      <c r="Y103" s="854"/>
      <c r="Z103" s="854"/>
      <c r="AA103" s="854"/>
      <c r="AB103" s="854"/>
      <c r="AC103" s="854"/>
      <c r="AD103" s="854"/>
    </row>
    <row r="104" spans="2:30" s="256" customFormat="1" ht="15" customHeight="1" x14ac:dyDescent="0.15">
      <c r="D104" s="257" t="s">
        <v>650</v>
      </c>
      <c r="F104" s="257"/>
      <c r="G104" s="257"/>
      <c r="H104" s="257"/>
      <c r="I104" s="854" t="str">
        <f>cst_wskakunin_iken4_TEL</f>
        <v/>
      </c>
      <c r="J104" s="854"/>
      <c r="K104" s="854"/>
      <c r="L104" s="854"/>
      <c r="M104" s="854"/>
      <c r="N104" s="854"/>
    </row>
    <row r="105" spans="2:30" s="256" customFormat="1" ht="15" customHeight="1" x14ac:dyDescent="0.15">
      <c r="D105" s="257" t="s">
        <v>651</v>
      </c>
      <c r="F105" s="257"/>
      <c r="G105" s="257"/>
      <c r="H105" s="257"/>
      <c r="I105" s="854" t="str">
        <f>cst_wskakunin_iken4_IKEN_NO</f>
        <v/>
      </c>
      <c r="J105" s="854"/>
      <c r="K105" s="854"/>
      <c r="L105" s="854"/>
      <c r="M105" s="854"/>
      <c r="N105" s="854"/>
      <c r="O105" s="854"/>
      <c r="P105" s="854"/>
      <c r="Q105" s="854"/>
      <c r="R105" s="854"/>
      <c r="S105" s="854"/>
      <c r="T105" s="854"/>
      <c r="U105" s="854"/>
      <c r="V105" s="854"/>
      <c r="W105" s="854"/>
      <c r="X105" s="854"/>
      <c r="Y105" s="854"/>
      <c r="Z105" s="854"/>
      <c r="AA105" s="854"/>
      <c r="AB105" s="854"/>
      <c r="AC105" s="854"/>
      <c r="AD105" s="854"/>
    </row>
    <row r="106" spans="2:30" ht="15" customHeight="1" x14ac:dyDescent="0.15">
      <c r="B106" s="258"/>
      <c r="C106" s="258"/>
      <c r="D106" s="258" t="s">
        <v>652</v>
      </c>
      <c r="E106" s="258"/>
      <c r="F106" s="258"/>
      <c r="G106" s="258"/>
      <c r="H106" s="258"/>
      <c r="I106" s="258"/>
      <c r="J106" s="258"/>
      <c r="K106" s="865" t="str">
        <f>cst_wskakunin_iken4_DOC</f>
        <v/>
      </c>
      <c r="L106" s="865"/>
      <c r="M106" s="865"/>
      <c r="N106" s="865"/>
      <c r="O106" s="865"/>
      <c r="P106" s="865"/>
      <c r="Q106" s="865"/>
      <c r="R106" s="865"/>
      <c r="S106" s="865"/>
      <c r="T106" s="865"/>
      <c r="U106" s="865"/>
      <c r="V106" s="865"/>
      <c r="W106" s="865"/>
      <c r="X106" s="865"/>
      <c r="Y106" s="865"/>
      <c r="Z106" s="865"/>
      <c r="AA106" s="865"/>
      <c r="AB106" s="865"/>
      <c r="AC106" s="865"/>
      <c r="AD106" s="865"/>
    </row>
    <row r="107" spans="2:30" ht="15" customHeight="1" x14ac:dyDescent="0.15">
      <c r="C107" s="199" t="s">
        <v>654</v>
      </c>
    </row>
    <row r="108" spans="2:30" ht="15" customHeight="1" x14ac:dyDescent="0.15">
      <c r="C108" s="252" t="s">
        <v>655</v>
      </c>
    </row>
    <row r="109" spans="2:30" s="256" customFormat="1" ht="15" customHeight="1" x14ac:dyDescent="0.15">
      <c r="D109" s="257" t="s">
        <v>623</v>
      </c>
      <c r="F109" s="257"/>
      <c r="G109" s="257"/>
      <c r="H109" s="257"/>
      <c r="I109" s="259" t="s">
        <v>2</v>
      </c>
      <c r="J109" s="857" t="str">
        <f>cst_wskakunin_kanri1_SIKAKU</f>
        <v>一級</v>
      </c>
      <c r="K109" s="857"/>
      <c r="L109" s="260" t="s">
        <v>3</v>
      </c>
      <c r="M109" s="256" t="s">
        <v>624</v>
      </c>
      <c r="Q109" s="257" t="s">
        <v>2</v>
      </c>
      <c r="R109" s="857" t="str">
        <f>cst_wskakunin_kanri1_TOUROKU_KIKAN</f>
        <v>国土交通大臣</v>
      </c>
      <c r="S109" s="857"/>
      <c r="T109" s="857"/>
      <c r="U109" s="260" t="s">
        <v>3</v>
      </c>
      <c r="W109" s="259" t="s">
        <v>625</v>
      </c>
      <c r="X109" s="857" t="str">
        <f>cst_wskakunin_kanri1_KENTIKUSI_NO</f>
        <v>339014</v>
      </c>
      <c r="Y109" s="857"/>
      <c r="Z109" s="857"/>
      <c r="AA109" s="259" t="s">
        <v>439</v>
      </c>
    </row>
    <row r="110" spans="2:30" s="256" customFormat="1" ht="15" customHeight="1" x14ac:dyDescent="0.15">
      <c r="D110" s="257" t="s">
        <v>620</v>
      </c>
      <c r="F110" s="257"/>
      <c r="G110" s="257"/>
      <c r="H110" s="257"/>
      <c r="I110" s="854" t="str">
        <f>cst_wskakunin_kanri1_NAME</f>
        <v>白形　真</v>
      </c>
      <c r="J110" s="854"/>
      <c r="K110" s="854"/>
      <c r="L110" s="854"/>
      <c r="M110" s="854"/>
      <c r="N110" s="854"/>
      <c r="O110" s="854"/>
      <c r="P110" s="854"/>
      <c r="Q110" s="854"/>
      <c r="R110" s="854"/>
      <c r="S110" s="854"/>
      <c r="T110" s="854"/>
      <c r="U110" s="854"/>
      <c r="V110" s="854"/>
      <c r="W110" s="854"/>
      <c r="X110" s="854"/>
      <c r="Y110" s="854"/>
      <c r="Z110" s="854"/>
      <c r="AA110" s="854"/>
      <c r="AB110" s="854"/>
      <c r="AC110" s="854"/>
      <c r="AD110" s="854"/>
    </row>
    <row r="111" spans="2:30" s="256" customFormat="1" ht="15" customHeight="1" x14ac:dyDescent="0.15">
      <c r="D111" s="257" t="s">
        <v>626</v>
      </c>
      <c r="I111" s="259" t="s">
        <v>2</v>
      </c>
      <c r="J111" s="857" t="str">
        <f>cst_wskakunin_kanri1_JIMU_SIKAKU</f>
        <v>一級</v>
      </c>
      <c r="K111" s="857"/>
      <c r="L111" s="260" t="s">
        <v>3</v>
      </c>
      <c r="M111" s="256" t="s">
        <v>627</v>
      </c>
      <c r="Q111" s="257" t="s">
        <v>2</v>
      </c>
      <c r="R111" s="857" t="str">
        <f>cst_wskakunin_kanri1_JIMU_TOUROKU_KIKAN</f>
        <v>愛媛県</v>
      </c>
      <c r="S111" s="857"/>
      <c r="T111" s="260" t="s">
        <v>3</v>
      </c>
      <c r="W111" s="259" t="s">
        <v>628</v>
      </c>
      <c r="X111" s="857">
        <f>cst_wskakunin_kanri1_JIMU_NO</f>
        <v>3002</v>
      </c>
      <c r="Y111" s="857"/>
      <c r="Z111" s="857"/>
      <c r="AA111" s="259" t="s">
        <v>439</v>
      </c>
    </row>
    <row r="112" spans="2:30" s="256" customFormat="1" ht="15" customHeight="1" x14ac:dyDescent="0.15">
      <c r="I112" s="854" t="str">
        <f>cst_wskakunin_kanri1_JIMU_NAME</f>
        <v>株式会社コラボハウス一級建築士事務所</v>
      </c>
      <c r="J112" s="854"/>
      <c r="K112" s="854"/>
      <c r="L112" s="854"/>
      <c r="M112" s="854"/>
      <c r="N112" s="854"/>
      <c r="O112" s="854"/>
      <c r="P112" s="854"/>
      <c r="Q112" s="854"/>
      <c r="R112" s="854"/>
      <c r="S112" s="854"/>
      <c r="T112" s="854"/>
      <c r="U112" s="854"/>
      <c r="V112" s="854"/>
      <c r="W112" s="854"/>
      <c r="X112" s="854"/>
      <c r="Y112" s="854"/>
      <c r="Z112" s="854"/>
      <c r="AA112" s="854"/>
      <c r="AB112" s="854"/>
      <c r="AC112" s="854"/>
      <c r="AD112" s="854"/>
    </row>
    <row r="113" spans="2:31" s="256" customFormat="1" ht="15" customHeight="1" x14ac:dyDescent="0.15">
      <c r="D113" s="257" t="s">
        <v>629</v>
      </c>
      <c r="F113" s="257"/>
      <c r="G113" s="257"/>
      <c r="H113" s="257"/>
      <c r="I113" s="854" t="str">
        <f>cst_wskakunin_kanri1_ZIP</f>
        <v>790-0916</v>
      </c>
      <c r="J113" s="854"/>
      <c r="K113" s="854"/>
      <c r="O113" s="257"/>
      <c r="P113" s="257"/>
      <c r="Q113" s="257"/>
      <c r="R113" s="257"/>
      <c r="S113" s="257"/>
      <c r="T113" s="257"/>
      <c r="U113" s="257"/>
      <c r="V113" s="257"/>
      <c r="W113" s="257"/>
      <c r="X113" s="257"/>
      <c r="Y113" s="257"/>
      <c r="Z113" s="257"/>
      <c r="AA113" s="257"/>
      <c r="AB113" s="257"/>
      <c r="AC113" s="257"/>
      <c r="AD113" s="257"/>
      <c r="AE113" s="257"/>
    </row>
    <row r="114" spans="2:31" s="256" customFormat="1" ht="15" customHeight="1" x14ac:dyDescent="0.15">
      <c r="D114" s="256" t="s">
        <v>630</v>
      </c>
      <c r="F114" s="257"/>
      <c r="G114" s="257"/>
      <c r="H114" s="257"/>
      <c r="I114" s="854" t="str">
        <f>cst_wskakunin_kanri1__address</f>
        <v>愛媛県松山市束本1丁目6-10　2F</v>
      </c>
      <c r="J114" s="854"/>
      <c r="K114" s="854"/>
      <c r="L114" s="854"/>
      <c r="M114" s="854"/>
      <c r="N114" s="854"/>
      <c r="O114" s="854"/>
      <c r="P114" s="854"/>
      <c r="Q114" s="854"/>
      <c r="R114" s="854"/>
      <c r="S114" s="854"/>
      <c r="T114" s="854"/>
      <c r="U114" s="854"/>
      <c r="V114" s="854"/>
      <c r="W114" s="854"/>
      <c r="X114" s="854"/>
      <c r="Y114" s="854"/>
      <c r="Z114" s="854"/>
      <c r="AA114" s="854"/>
      <c r="AB114" s="854"/>
      <c r="AC114" s="854"/>
      <c r="AD114" s="854"/>
    </row>
    <row r="115" spans="2:31" s="256" customFormat="1" ht="15" customHeight="1" x14ac:dyDescent="0.15">
      <c r="D115" s="257" t="s">
        <v>631</v>
      </c>
      <c r="F115" s="257"/>
      <c r="G115" s="257"/>
      <c r="H115" s="257"/>
      <c r="I115" s="854" t="str">
        <f>cst_wskakunin_kanri1_TEL</f>
        <v>089-947-1313</v>
      </c>
      <c r="J115" s="854"/>
      <c r="K115" s="854"/>
      <c r="L115" s="854"/>
      <c r="M115" s="854"/>
      <c r="N115" s="854"/>
    </row>
    <row r="116" spans="2:31" s="256" customFormat="1" ht="15" customHeight="1" x14ac:dyDescent="0.15">
      <c r="B116" s="263"/>
      <c r="C116" s="263"/>
      <c r="D116" s="266" t="s">
        <v>656</v>
      </c>
      <c r="E116" s="263"/>
      <c r="F116" s="266"/>
      <c r="G116" s="266"/>
      <c r="H116" s="266"/>
      <c r="I116" s="266"/>
      <c r="J116" s="266"/>
      <c r="K116" s="866" t="str">
        <f>cst_wskakunin_kanri1_DOC</f>
        <v>設計図書一式</v>
      </c>
      <c r="L116" s="866"/>
      <c r="M116" s="866"/>
      <c r="N116" s="866"/>
      <c r="O116" s="866"/>
      <c r="P116" s="866"/>
      <c r="Q116" s="866"/>
      <c r="R116" s="866"/>
      <c r="S116" s="866"/>
      <c r="T116" s="866"/>
      <c r="U116" s="866"/>
      <c r="V116" s="866"/>
      <c r="W116" s="866"/>
      <c r="X116" s="866"/>
      <c r="Y116" s="866"/>
      <c r="Z116" s="866"/>
      <c r="AA116" s="866"/>
      <c r="AB116" s="866"/>
      <c r="AC116" s="866"/>
      <c r="AD116" s="866"/>
    </row>
    <row r="117" spans="2:31" ht="15" customHeight="1" x14ac:dyDescent="0.15">
      <c r="C117" s="252" t="s">
        <v>657</v>
      </c>
    </row>
    <row r="118" spans="2:31" s="256" customFormat="1" ht="15" customHeight="1" x14ac:dyDescent="0.15">
      <c r="D118" s="257" t="s">
        <v>623</v>
      </c>
      <c r="F118" s="257"/>
      <c r="G118" s="257"/>
      <c r="H118" s="257"/>
      <c r="I118" s="259" t="s">
        <v>2</v>
      </c>
      <c r="J118" s="857" t="str">
        <f>cst_wskakunin_kanri2_SIKAKU</f>
        <v/>
      </c>
      <c r="K118" s="857"/>
      <c r="L118" s="260" t="s">
        <v>3</v>
      </c>
      <c r="M118" s="256" t="s">
        <v>624</v>
      </c>
      <c r="Q118" s="257" t="s">
        <v>2</v>
      </c>
      <c r="R118" s="857" t="str">
        <f>cst_wskakunin_kanri2_TOUROKU_KIKAN</f>
        <v/>
      </c>
      <c r="S118" s="857"/>
      <c r="T118" s="857"/>
      <c r="U118" s="260" t="s">
        <v>3</v>
      </c>
      <c r="W118" s="259" t="s">
        <v>625</v>
      </c>
      <c r="X118" s="857" t="str">
        <f>cst_wskakunin_kanri2_KENTIKUSI_NO</f>
        <v/>
      </c>
      <c r="Y118" s="857"/>
      <c r="Z118" s="857"/>
      <c r="AA118" s="259" t="s">
        <v>439</v>
      </c>
    </row>
    <row r="119" spans="2:31" s="256" customFormat="1" ht="15" customHeight="1" x14ac:dyDescent="0.15">
      <c r="D119" s="257" t="s">
        <v>620</v>
      </c>
      <c r="F119" s="257"/>
      <c r="G119" s="257"/>
      <c r="H119" s="257"/>
      <c r="I119" s="854" t="str">
        <f>cst_wskakunin_kanri2_NAME</f>
        <v/>
      </c>
      <c r="J119" s="854"/>
      <c r="K119" s="854"/>
      <c r="L119" s="854"/>
      <c r="M119" s="854"/>
      <c r="N119" s="854"/>
      <c r="O119" s="854"/>
      <c r="P119" s="854"/>
      <c r="Q119" s="854"/>
      <c r="R119" s="854"/>
      <c r="S119" s="854"/>
      <c r="T119" s="854"/>
      <c r="U119" s="854"/>
      <c r="V119" s="854"/>
      <c r="W119" s="854"/>
      <c r="X119" s="854"/>
      <c r="Y119" s="854"/>
      <c r="Z119" s="854"/>
      <c r="AA119" s="854"/>
      <c r="AB119" s="854"/>
      <c r="AC119" s="854"/>
      <c r="AD119" s="854"/>
    </row>
    <row r="120" spans="2:31" s="256" customFormat="1" ht="15" customHeight="1" x14ac:dyDescent="0.15">
      <c r="D120" s="257" t="s">
        <v>626</v>
      </c>
      <c r="I120" s="259" t="s">
        <v>2</v>
      </c>
      <c r="J120" s="857" t="str">
        <f>cst_wskakunin_kanri2_JIMU_SIKAKU</f>
        <v/>
      </c>
      <c r="K120" s="857"/>
      <c r="L120" s="260" t="s">
        <v>3</v>
      </c>
      <c r="M120" s="256" t="s">
        <v>627</v>
      </c>
      <c r="Q120" s="257" t="s">
        <v>2</v>
      </c>
      <c r="R120" s="857" t="str">
        <f>cst_wskakunin_kanri2_JIMU_TOUROKU_KIKAN</f>
        <v/>
      </c>
      <c r="S120" s="857"/>
      <c r="T120" s="260" t="s">
        <v>3</v>
      </c>
      <c r="W120" s="259" t="s">
        <v>628</v>
      </c>
      <c r="X120" s="857" t="str">
        <f>cst_wskakunin_kanri2_JIMU_NO</f>
        <v/>
      </c>
      <c r="Y120" s="857"/>
      <c r="Z120" s="857"/>
      <c r="AA120" s="259" t="s">
        <v>439</v>
      </c>
    </row>
    <row r="121" spans="2:31" s="256" customFormat="1" ht="15" customHeight="1" x14ac:dyDescent="0.15">
      <c r="I121" s="854" t="str">
        <f>cst_wskakunin_kanri2_JIMU_NAME</f>
        <v/>
      </c>
      <c r="J121" s="854"/>
      <c r="K121" s="854"/>
      <c r="L121" s="854"/>
      <c r="M121" s="854"/>
      <c r="N121" s="854"/>
      <c r="O121" s="854"/>
      <c r="P121" s="854"/>
      <c r="Q121" s="854"/>
      <c r="R121" s="854"/>
      <c r="S121" s="854"/>
      <c r="T121" s="854"/>
      <c r="U121" s="854"/>
      <c r="V121" s="854"/>
      <c r="W121" s="854"/>
      <c r="X121" s="854"/>
      <c r="Y121" s="854"/>
      <c r="Z121" s="854"/>
      <c r="AA121" s="854"/>
      <c r="AB121" s="854"/>
      <c r="AC121" s="854"/>
      <c r="AD121" s="854"/>
    </row>
    <row r="122" spans="2:31" s="256" customFormat="1" ht="15" customHeight="1" x14ac:dyDescent="0.15">
      <c r="D122" s="257" t="s">
        <v>629</v>
      </c>
      <c r="F122" s="257"/>
      <c r="G122" s="257"/>
      <c r="H122" s="257"/>
      <c r="I122" s="854" t="str">
        <f>cst_wskakunin_kanri2_ZIP</f>
        <v/>
      </c>
      <c r="J122" s="854"/>
      <c r="K122" s="854"/>
      <c r="O122" s="257"/>
      <c r="P122" s="257"/>
      <c r="Q122" s="257"/>
      <c r="R122" s="257"/>
      <c r="S122" s="257"/>
      <c r="T122" s="257"/>
      <c r="U122" s="257"/>
      <c r="V122" s="257"/>
      <c r="W122" s="257"/>
      <c r="X122" s="257"/>
      <c r="Y122" s="257"/>
      <c r="Z122" s="257"/>
      <c r="AA122" s="257"/>
      <c r="AB122" s="257"/>
      <c r="AC122" s="257"/>
      <c r="AD122" s="257"/>
      <c r="AE122" s="257"/>
    </row>
    <row r="123" spans="2:31" s="256" customFormat="1" ht="15" customHeight="1" x14ac:dyDescent="0.15">
      <c r="D123" s="256" t="s">
        <v>630</v>
      </c>
      <c r="F123" s="257"/>
      <c r="G123" s="257"/>
      <c r="H123" s="257"/>
      <c r="I123" s="854" t="str">
        <f>cst_wskakunin_kanri2__address</f>
        <v/>
      </c>
      <c r="J123" s="854"/>
      <c r="K123" s="854"/>
      <c r="L123" s="854"/>
      <c r="M123" s="854"/>
      <c r="N123" s="854"/>
      <c r="O123" s="854"/>
      <c r="P123" s="854"/>
      <c r="Q123" s="854"/>
      <c r="R123" s="854"/>
      <c r="S123" s="854"/>
      <c r="T123" s="854"/>
      <c r="U123" s="854"/>
      <c r="V123" s="854"/>
      <c r="W123" s="854"/>
      <c r="X123" s="854"/>
      <c r="Y123" s="854"/>
      <c r="Z123" s="854"/>
      <c r="AA123" s="854"/>
      <c r="AB123" s="854"/>
      <c r="AC123" s="854"/>
      <c r="AD123" s="854"/>
    </row>
    <row r="124" spans="2:31" s="256" customFormat="1" ht="15" customHeight="1" x14ac:dyDescent="0.15">
      <c r="D124" s="257" t="s">
        <v>631</v>
      </c>
      <c r="F124" s="257"/>
      <c r="G124" s="257"/>
      <c r="H124" s="257"/>
      <c r="I124" s="854" t="str">
        <f>cst_wskakunin_kanri2_TEL</f>
        <v/>
      </c>
      <c r="J124" s="854"/>
      <c r="K124" s="854"/>
      <c r="L124" s="854"/>
      <c r="M124" s="854"/>
      <c r="N124" s="854"/>
    </row>
    <row r="125" spans="2:31" s="256" customFormat="1" ht="15" customHeight="1" x14ac:dyDescent="0.15">
      <c r="B125" s="263"/>
      <c r="C125" s="263"/>
      <c r="D125" s="266" t="s">
        <v>656</v>
      </c>
      <c r="E125" s="263"/>
      <c r="F125" s="266"/>
      <c r="G125" s="266"/>
      <c r="H125" s="266"/>
      <c r="I125" s="266"/>
      <c r="J125" s="266"/>
      <c r="K125" s="866" t="str">
        <f>cst_wskakunin_kanri2_DOC</f>
        <v/>
      </c>
      <c r="L125" s="866"/>
      <c r="M125" s="866"/>
      <c r="N125" s="866"/>
      <c r="O125" s="866"/>
      <c r="P125" s="866"/>
      <c r="Q125" s="866"/>
      <c r="R125" s="866"/>
      <c r="S125" s="866"/>
      <c r="T125" s="866"/>
      <c r="U125" s="866"/>
      <c r="V125" s="866"/>
      <c r="W125" s="866"/>
      <c r="X125" s="866"/>
      <c r="Y125" s="866"/>
      <c r="Z125" s="866"/>
      <c r="AA125" s="866"/>
      <c r="AB125" s="866"/>
      <c r="AC125" s="866"/>
      <c r="AD125" s="866"/>
    </row>
    <row r="126" spans="2:31" s="256" customFormat="1" ht="15" customHeight="1" x14ac:dyDescent="0.15">
      <c r="D126" s="257" t="s">
        <v>623</v>
      </c>
      <c r="F126" s="257"/>
      <c r="G126" s="257"/>
      <c r="H126" s="257"/>
      <c r="I126" s="259" t="s">
        <v>2</v>
      </c>
      <c r="J126" s="857" t="str">
        <f>cst_wskakunin_kanri3_SIKAKU</f>
        <v/>
      </c>
      <c r="K126" s="857"/>
      <c r="L126" s="260" t="s">
        <v>3</v>
      </c>
      <c r="M126" s="256" t="s">
        <v>624</v>
      </c>
      <c r="Q126" s="257" t="s">
        <v>2</v>
      </c>
      <c r="R126" s="857" t="str">
        <f>cst_wskakunin_kanri3_TOUROKU_KIKAN</f>
        <v/>
      </c>
      <c r="S126" s="857"/>
      <c r="T126" s="857"/>
      <c r="U126" s="260" t="s">
        <v>3</v>
      </c>
      <c r="W126" s="259" t="s">
        <v>625</v>
      </c>
      <c r="X126" s="857" t="str">
        <f>cst_wskakunin_kanri3_KENTIKUSI_NO</f>
        <v/>
      </c>
      <c r="Y126" s="857"/>
      <c r="Z126" s="857"/>
      <c r="AA126" s="259" t="s">
        <v>439</v>
      </c>
    </row>
    <row r="127" spans="2:31" s="256" customFormat="1" ht="15" customHeight="1" x14ac:dyDescent="0.15">
      <c r="D127" s="257" t="s">
        <v>620</v>
      </c>
      <c r="F127" s="257"/>
      <c r="G127" s="257"/>
      <c r="H127" s="257"/>
      <c r="I127" s="854" t="str">
        <f>cst_wskakunin_kanri3_NAME</f>
        <v/>
      </c>
      <c r="J127" s="854"/>
      <c r="K127" s="854"/>
      <c r="L127" s="854"/>
      <c r="M127" s="854"/>
      <c r="N127" s="854"/>
      <c r="O127" s="854"/>
      <c r="P127" s="854"/>
      <c r="Q127" s="854"/>
      <c r="R127" s="854"/>
      <c r="S127" s="854"/>
      <c r="T127" s="854"/>
      <c r="U127" s="854"/>
      <c r="V127" s="854"/>
      <c r="W127" s="854"/>
      <c r="X127" s="854"/>
      <c r="Y127" s="854"/>
      <c r="Z127" s="854"/>
      <c r="AA127" s="854"/>
      <c r="AB127" s="854"/>
      <c r="AC127" s="854"/>
      <c r="AD127" s="854"/>
    </row>
    <row r="128" spans="2:31" s="256" customFormat="1" ht="15" customHeight="1" x14ac:dyDescent="0.15">
      <c r="D128" s="257" t="s">
        <v>626</v>
      </c>
      <c r="I128" s="259" t="s">
        <v>2</v>
      </c>
      <c r="J128" s="857" t="str">
        <f>cst_wskakunin_kanri3_JIMU_SIKAKU</f>
        <v/>
      </c>
      <c r="K128" s="857"/>
      <c r="L128" s="260" t="s">
        <v>3</v>
      </c>
      <c r="M128" s="256" t="s">
        <v>627</v>
      </c>
      <c r="Q128" s="257" t="s">
        <v>2</v>
      </c>
      <c r="R128" s="857" t="str">
        <f>cst_wskakunin_kanri3_JIMU_TOUROKU_KIKAN</f>
        <v/>
      </c>
      <c r="S128" s="857"/>
      <c r="T128" s="260" t="s">
        <v>3</v>
      </c>
      <c r="W128" s="259" t="s">
        <v>628</v>
      </c>
      <c r="X128" s="857" t="str">
        <f>cst_wskakunin_kanri3_JIMU_NO</f>
        <v/>
      </c>
      <c r="Y128" s="857"/>
      <c r="Z128" s="857"/>
      <c r="AA128" s="259" t="s">
        <v>439</v>
      </c>
    </row>
    <row r="129" spans="2:33" s="256" customFormat="1" ht="15" customHeight="1" x14ac:dyDescent="0.15">
      <c r="I129" s="854" t="str">
        <f>cst_wskakunin_kanri3_JIMU_NAME</f>
        <v/>
      </c>
      <c r="J129" s="854"/>
      <c r="K129" s="854"/>
      <c r="L129" s="854"/>
      <c r="M129" s="854"/>
      <c r="N129" s="854"/>
      <c r="O129" s="854"/>
      <c r="P129" s="854"/>
      <c r="Q129" s="854"/>
      <c r="R129" s="854"/>
      <c r="S129" s="854"/>
      <c r="T129" s="854"/>
      <c r="U129" s="854"/>
      <c r="V129" s="854"/>
      <c r="W129" s="854"/>
      <c r="X129" s="854"/>
      <c r="Y129" s="854"/>
      <c r="Z129" s="854"/>
      <c r="AA129" s="854"/>
      <c r="AB129" s="854"/>
      <c r="AC129" s="854"/>
      <c r="AD129" s="854"/>
    </row>
    <row r="130" spans="2:33" s="256" customFormat="1" ht="15" customHeight="1" x14ac:dyDescent="0.15">
      <c r="D130" s="257" t="s">
        <v>629</v>
      </c>
      <c r="F130" s="257"/>
      <c r="G130" s="257"/>
      <c r="H130" s="257"/>
      <c r="I130" s="854" t="str">
        <f>cst_wskakunin_kanri3_ZIP</f>
        <v/>
      </c>
      <c r="J130" s="854"/>
      <c r="K130" s="854"/>
      <c r="O130" s="257"/>
      <c r="P130" s="257"/>
      <c r="Q130" s="257"/>
      <c r="R130" s="257"/>
      <c r="S130" s="257"/>
      <c r="T130" s="257"/>
      <c r="U130" s="257"/>
      <c r="V130" s="257"/>
      <c r="W130" s="257"/>
      <c r="X130" s="257"/>
      <c r="Y130" s="257"/>
      <c r="Z130" s="257"/>
      <c r="AA130" s="257"/>
      <c r="AB130" s="257"/>
      <c r="AC130" s="257"/>
      <c r="AD130" s="257"/>
      <c r="AE130" s="257"/>
      <c r="AF130" s="257"/>
      <c r="AG130" s="257"/>
    </row>
    <row r="131" spans="2:33" s="256" customFormat="1" ht="15" customHeight="1" x14ac:dyDescent="0.15">
      <c r="D131" s="256" t="s">
        <v>630</v>
      </c>
      <c r="F131" s="257"/>
      <c r="G131" s="257"/>
      <c r="H131" s="257"/>
      <c r="I131" s="854" t="str">
        <f>cst_wskakunin_kanri3__address</f>
        <v/>
      </c>
      <c r="J131" s="854"/>
      <c r="K131" s="854"/>
      <c r="L131" s="854"/>
      <c r="M131" s="854"/>
      <c r="N131" s="854"/>
      <c r="O131" s="854"/>
      <c r="P131" s="854"/>
      <c r="Q131" s="854"/>
      <c r="R131" s="854"/>
      <c r="S131" s="854"/>
      <c r="T131" s="854"/>
      <c r="U131" s="854"/>
      <c r="V131" s="854"/>
      <c r="W131" s="854"/>
      <c r="X131" s="854"/>
      <c r="Y131" s="854"/>
      <c r="Z131" s="854"/>
      <c r="AA131" s="854"/>
      <c r="AB131" s="854"/>
      <c r="AC131" s="854"/>
      <c r="AD131" s="854"/>
    </row>
    <row r="132" spans="2:33" s="256" customFormat="1" ht="15" customHeight="1" x14ac:dyDescent="0.15">
      <c r="D132" s="257" t="s">
        <v>631</v>
      </c>
      <c r="F132" s="257"/>
      <c r="G132" s="257"/>
      <c r="H132" s="257"/>
      <c r="I132" s="854" t="str">
        <f>cst_wskakunin_kanri3_TEL</f>
        <v/>
      </c>
      <c r="J132" s="854"/>
      <c r="K132" s="854"/>
      <c r="L132" s="854"/>
      <c r="M132" s="854"/>
      <c r="N132" s="854"/>
    </row>
    <row r="133" spans="2:33" s="256" customFormat="1" ht="15" customHeight="1" x14ac:dyDescent="0.15">
      <c r="B133" s="263"/>
      <c r="C133" s="263"/>
      <c r="D133" s="266" t="s">
        <v>656</v>
      </c>
      <c r="E133" s="263"/>
      <c r="F133" s="266"/>
      <c r="G133" s="266"/>
      <c r="H133" s="266"/>
      <c r="I133" s="266"/>
      <c r="J133" s="266"/>
      <c r="K133" s="866" t="str">
        <f>cst_wskakunin_kanri3_DOC</f>
        <v/>
      </c>
      <c r="L133" s="866"/>
      <c r="M133" s="866"/>
      <c r="N133" s="866"/>
      <c r="O133" s="866"/>
      <c r="P133" s="866"/>
      <c r="Q133" s="866"/>
      <c r="R133" s="866"/>
      <c r="S133" s="866"/>
      <c r="T133" s="866"/>
      <c r="U133" s="866"/>
      <c r="V133" s="866"/>
      <c r="W133" s="866"/>
      <c r="X133" s="866"/>
      <c r="Y133" s="866"/>
      <c r="Z133" s="866"/>
      <c r="AA133" s="866"/>
      <c r="AB133" s="866"/>
      <c r="AC133" s="866"/>
      <c r="AD133" s="866"/>
    </row>
    <row r="134" spans="2:33" s="256" customFormat="1" ht="15" customHeight="1" x14ac:dyDescent="0.15">
      <c r="D134" s="257" t="s">
        <v>623</v>
      </c>
      <c r="F134" s="257"/>
      <c r="G134" s="257"/>
      <c r="H134" s="257"/>
      <c r="I134" s="259" t="s">
        <v>2</v>
      </c>
      <c r="J134" s="857" t="str">
        <f>cst_wskakunin_kanri4_SIKAKU</f>
        <v/>
      </c>
      <c r="K134" s="857"/>
      <c r="L134" s="260" t="s">
        <v>3</v>
      </c>
      <c r="M134" s="256" t="s">
        <v>624</v>
      </c>
      <c r="Q134" s="257" t="s">
        <v>2</v>
      </c>
      <c r="R134" s="857" t="str">
        <f>cst_wskakunin_kanri4_TOUROKU_KIKAN</f>
        <v/>
      </c>
      <c r="S134" s="857"/>
      <c r="T134" s="857"/>
      <c r="U134" s="260" t="s">
        <v>3</v>
      </c>
      <c r="W134" s="259" t="s">
        <v>625</v>
      </c>
      <c r="X134" s="857" t="str">
        <f>cst_wskakunin_kanri4_KENTIKUSI_NO</f>
        <v/>
      </c>
      <c r="Y134" s="857"/>
      <c r="Z134" s="857"/>
      <c r="AA134" s="259" t="s">
        <v>439</v>
      </c>
    </row>
    <row r="135" spans="2:33" s="256" customFormat="1" ht="15" customHeight="1" x14ac:dyDescent="0.15">
      <c r="D135" s="257" t="s">
        <v>620</v>
      </c>
      <c r="F135" s="257"/>
      <c r="G135" s="257"/>
      <c r="H135" s="257"/>
      <c r="I135" s="854" t="str">
        <f>cst_wskakunin_kanri4_NAME</f>
        <v/>
      </c>
      <c r="J135" s="854"/>
      <c r="K135" s="854"/>
      <c r="L135" s="854"/>
      <c r="M135" s="854"/>
      <c r="N135" s="854"/>
      <c r="O135" s="854"/>
      <c r="P135" s="854"/>
      <c r="Q135" s="854"/>
      <c r="R135" s="854"/>
      <c r="S135" s="854"/>
      <c r="T135" s="854"/>
      <c r="U135" s="854"/>
      <c r="V135" s="854"/>
      <c r="W135" s="854"/>
      <c r="X135" s="854"/>
      <c r="Y135" s="854"/>
      <c r="Z135" s="854"/>
      <c r="AA135" s="854"/>
      <c r="AB135" s="854"/>
      <c r="AC135" s="854"/>
      <c r="AD135" s="854"/>
    </row>
    <row r="136" spans="2:33" s="256" customFormat="1" ht="15" customHeight="1" x14ac:dyDescent="0.15">
      <c r="D136" s="257" t="s">
        <v>626</v>
      </c>
      <c r="I136" s="259" t="s">
        <v>2</v>
      </c>
      <c r="J136" s="857" t="str">
        <f>cst_wskakunin_kanri4_JIMU_SIKAKU</f>
        <v/>
      </c>
      <c r="K136" s="857"/>
      <c r="L136" s="260" t="s">
        <v>3</v>
      </c>
      <c r="M136" s="256" t="s">
        <v>627</v>
      </c>
      <c r="Q136" s="257" t="s">
        <v>2</v>
      </c>
      <c r="R136" s="857" t="str">
        <f>cst_wskakunin_kanri4_JIMU_TOUROKU_KIKAN</f>
        <v/>
      </c>
      <c r="S136" s="857"/>
      <c r="T136" s="260" t="s">
        <v>3</v>
      </c>
      <c r="W136" s="259" t="s">
        <v>628</v>
      </c>
      <c r="X136" s="857" t="str">
        <f>cst_wskakunin_kanri4_JIMU_NO</f>
        <v/>
      </c>
      <c r="Y136" s="857"/>
      <c r="Z136" s="857"/>
      <c r="AA136" s="259" t="s">
        <v>439</v>
      </c>
    </row>
    <row r="137" spans="2:33" s="256" customFormat="1" ht="15" customHeight="1" x14ac:dyDescent="0.15">
      <c r="I137" s="854" t="str">
        <f>cst_wskakunin_kanri4_JIMU_NAME</f>
        <v/>
      </c>
      <c r="J137" s="854"/>
      <c r="K137" s="854"/>
      <c r="L137" s="854"/>
      <c r="M137" s="854"/>
      <c r="N137" s="854"/>
      <c r="O137" s="854"/>
      <c r="P137" s="854"/>
      <c r="Q137" s="854"/>
      <c r="R137" s="854"/>
      <c r="S137" s="854"/>
      <c r="T137" s="854"/>
      <c r="U137" s="854"/>
      <c r="V137" s="854"/>
      <c r="W137" s="854"/>
      <c r="X137" s="854"/>
      <c r="Y137" s="854"/>
      <c r="Z137" s="854"/>
      <c r="AA137" s="854"/>
      <c r="AB137" s="854"/>
      <c r="AC137" s="854"/>
      <c r="AD137" s="854"/>
    </row>
    <row r="138" spans="2:33" s="256" customFormat="1" ht="15" customHeight="1" x14ac:dyDescent="0.15">
      <c r="D138" s="257" t="s">
        <v>629</v>
      </c>
      <c r="F138" s="257"/>
      <c r="G138" s="257"/>
      <c r="H138" s="257"/>
      <c r="I138" s="854" t="str">
        <f>cst_wskakunin_kanri4_ZIP</f>
        <v/>
      </c>
      <c r="J138" s="854"/>
      <c r="K138" s="854"/>
      <c r="O138" s="257"/>
      <c r="P138" s="257"/>
      <c r="Q138" s="257"/>
      <c r="R138" s="257"/>
      <c r="S138" s="257"/>
      <c r="T138" s="257"/>
      <c r="U138" s="257"/>
      <c r="V138" s="257"/>
      <c r="W138" s="257"/>
      <c r="X138" s="257"/>
      <c r="Y138" s="257"/>
      <c r="Z138" s="257"/>
      <c r="AA138" s="257"/>
      <c r="AB138" s="257"/>
      <c r="AC138" s="257"/>
      <c r="AD138" s="257"/>
      <c r="AE138" s="257"/>
      <c r="AF138" s="257"/>
    </row>
    <row r="139" spans="2:33" s="256" customFormat="1" ht="15" customHeight="1" x14ac:dyDescent="0.15">
      <c r="D139" s="256" t="s">
        <v>630</v>
      </c>
      <c r="F139" s="257"/>
      <c r="G139" s="257"/>
      <c r="H139" s="257"/>
      <c r="I139" s="854"/>
      <c r="J139" s="854"/>
      <c r="K139" s="854"/>
      <c r="L139" s="854"/>
      <c r="M139" s="854"/>
      <c r="N139" s="854"/>
      <c r="O139" s="854"/>
      <c r="P139" s="854"/>
      <c r="Q139" s="854"/>
      <c r="R139" s="854"/>
      <c r="S139" s="854"/>
      <c r="T139" s="854"/>
      <c r="U139" s="854"/>
      <c r="V139" s="854"/>
      <c r="W139" s="854"/>
      <c r="X139" s="854"/>
      <c r="Y139" s="854"/>
      <c r="Z139" s="854"/>
      <c r="AA139" s="854"/>
      <c r="AB139" s="854"/>
      <c r="AC139" s="854"/>
      <c r="AD139" s="854"/>
    </row>
    <row r="140" spans="2:33" s="256" customFormat="1" ht="15" customHeight="1" x14ac:dyDescent="0.15">
      <c r="D140" s="257" t="s">
        <v>631</v>
      </c>
      <c r="F140" s="257"/>
      <c r="G140" s="257"/>
      <c r="H140" s="257"/>
      <c r="I140" s="854" t="str">
        <f>cst_wskakunin_kanri4_TEL</f>
        <v/>
      </c>
      <c r="J140" s="854"/>
      <c r="K140" s="854"/>
      <c r="L140" s="854"/>
      <c r="M140" s="854"/>
      <c r="N140" s="854"/>
    </row>
    <row r="141" spans="2:33" s="256" customFormat="1" ht="15" customHeight="1" x14ac:dyDescent="0.15">
      <c r="B141" s="261"/>
      <c r="C141" s="261"/>
      <c r="D141" s="262" t="s">
        <v>656</v>
      </c>
      <c r="E141" s="261"/>
      <c r="F141" s="262"/>
      <c r="G141" s="262"/>
      <c r="H141" s="262"/>
      <c r="I141" s="262"/>
      <c r="J141" s="262"/>
      <c r="K141" s="858" t="str">
        <f>cst_wskakunin_kanri4_DOC</f>
        <v/>
      </c>
      <c r="L141" s="858"/>
      <c r="M141" s="858"/>
      <c r="N141" s="858"/>
      <c r="O141" s="858"/>
      <c r="P141" s="858"/>
      <c r="Q141" s="858"/>
      <c r="R141" s="858"/>
      <c r="S141" s="858"/>
      <c r="T141" s="858"/>
      <c r="U141" s="858"/>
      <c r="V141" s="858"/>
      <c r="W141" s="858"/>
      <c r="X141" s="858"/>
      <c r="Y141" s="858"/>
      <c r="Z141" s="858"/>
      <c r="AA141" s="858"/>
      <c r="AB141" s="858"/>
      <c r="AC141" s="858"/>
      <c r="AD141" s="858"/>
    </row>
    <row r="142" spans="2:33" ht="15" customHeight="1" x14ac:dyDescent="0.15">
      <c r="C142" s="12" t="s">
        <v>658</v>
      </c>
    </row>
    <row r="143" spans="2:33" ht="15" customHeight="1" x14ac:dyDescent="0.15">
      <c r="D143" s="257" t="s">
        <v>639</v>
      </c>
      <c r="I143" s="871" t="str">
        <f>cst_wskakunin_sekou1_NAME</f>
        <v>松坂　直樹</v>
      </c>
      <c r="J143" s="871"/>
      <c r="K143" s="871"/>
      <c r="L143" s="871"/>
      <c r="M143" s="871"/>
      <c r="N143" s="871"/>
      <c r="O143" s="871"/>
      <c r="P143" s="871"/>
      <c r="Q143" s="871"/>
      <c r="R143" s="871"/>
      <c r="S143" s="871"/>
      <c r="T143" s="871"/>
      <c r="U143" s="871"/>
      <c r="V143" s="871"/>
      <c r="W143" s="871"/>
      <c r="X143" s="871"/>
      <c r="Y143" s="871"/>
      <c r="Z143" s="871"/>
      <c r="AA143" s="871"/>
      <c r="AB143" s="871"/>
      <c r="AC143" s="871"/>
    </row>
    <row r="144" spans="2:33" ht="15" customHeight="1" x14ac:dyDescent="0.15">
      <c r="D144" s="257" t="s">
        <v>659</v>
      </c>
      <c r="I144" s="252" t="s">
        <v>660</v>
      </c>
      <c r="M144" s="252" t="s">
        <v>2</v>
      </c>
      <c r="N144" s="870" t="str">
        <f>cst_wskakunin_sekou1_SEKOU_SIKAKU</f>
        <v>国土交通大臣</v>
      </c>
      <c r="O144" s="870"/>
      <c r="P144" s="870"/>
      <c r="Q144" s="252" t="s">
        <v>3</v>
      </c>
      <c r="S144" s="252" t="s">
        <v>438</v>
      </c>
      <c r="T144" s="870" t="str">
        <f>cst_wskakunin_sekou1_SEKOU_NO</f>
        <v>(特-2)27833</v>
      </c>
      <c r="U144" s="870"/>
      <c r="V144" s="870"/>
      <c r="W144" s="870"/>
      <c r="X144" s="870"/>
      <c r="Y144" s="252" t="s">
        <v>439</v>
      </c>
    </row>
    <row r="145" spans="2:32" ht="15" customHeight="1" x14ac:dyDescent="0.15">
      <c r="D145" s="257"/>
      <c r="I145" s="871" t="str">
        <f>cst_wskakunin_sekou1_JIMU_NAME</f>
        <v>株式会社コラボハウス</v>
      </c>
      <c r="J145" s="871"/>
      <c r="K145" s="871"/>
      <c r="L145" s="871"/>
      <c r="M145" s="871"/>
      <c r="N145" s="871"/>
      <c r="O145" s="871"/>
      <c r="P145" s="871"/>
      <c r="Q145" s="871"/>
      <c r="R145" s="871"/>
      <c r="S145" s="871"/>
      <c r="T145" s="871"/>
      <c r="U145" s="871"/>
      <c r="V145" s="871"/>
      <c r="W145" s="871"/>
      <c r="X145" s="871"/>
      <c r="Y145" s="871"/>
      <c r="Z145" s="871"/>
      <c r="AA145" s="871"/>
      <c r="AB145" s="871"/>
      <c r="AC145" s="871"/>
      <c r="AD145" s="871"/>
    </row>
    <row r="146" spans="2:32" s="256" customFormat="1" ht="15" customHeight="1" x14ac:dyDescent="0.15">
      <c r="D146" s="257" t="s">
        <v>621</v>
      </c>
      <c r="F146" s="257"/>
      <c r="G146" s="257"/>
      <c r="H146" s="257"/>
      <c r="I146" s="854" t="str">
        <f>cst_wskakunin_sekou1_ZIP</f>
        <v>790-0916</v>
      </c>
      <c r="J146" s="854"/>
      <c r="K146" s="854"/>
      <c r="O146" s="257"/>
    </row>
    <row r="147" spans="2:32" s="256" customFormat="1" ht="15" customHeight="1" x14ac:dyDescent="0.15">
      <c r="D147" s="256" t="s">
        <v>649</v>
      </c>
      <c r="F147" s="257"/>
      <c r="G147" s="257"/>
      <c r="H147" s="257"/>
      <c r="I147" s="861" t="str">
        <f>cst_wskakunin_sekou1__address</f>
        <v>愛媛県松山市束本1丁目6-10 2F</v>
      </c>
      <c r="J147" s="861"/>
      <c r="K147" s="861"/>
      <c r="L147" s="861"/>
      <c r="M147" s="861"/>
      <c r="N147" s="861"/>
      <c r="O147" s="861"/>
      <c r="P147" s="861"/>
      <c r="Q147" s="861"/>
      <c r="R147" s="861"/>
      <c r="S147" s="861"/>
      <c r="T147" s="861"/>
      <c r="U147" s="861"/>
      <c r="V147" s="861"/>
      <c r="W147" s="861"/>
      <c r="X147" s="861"/>
      <c r="Y147" s="861"/>
      <c r="Z147" s="861"/>
      <c r="AA147" s="861"/>
      <c r="AB147" s="861"/>
      <c r="AC147" s="861"/>
      <c r="AD147" s="861"/>
    </row>
    <row r="148" spans="2:32" s="256" customFormat="1" ht="15" customHeight="1" x14ac:dyDescent="0.15">
      <c r="B148" s="261"/>
      <c r="C148" s="261"/>
      <c r="D148" s="262" t="s">
        <v>650</v>
      </c>
      <c r="E148" s="261"/>
      <c r="F148" s="262"/>
      <c r="G148" s="262"/>
      <c r="H148" s="262"/>
      <c r="I148" s="858" t="str">
        <f>cst_wskakunin_sekou1_TEL</f>
        <v>089-947-1313</v>
      </c>
      <c r="J148" s="858"/>
      <c r="K148" s="858"/>
      <c r="L148" s="858"/>
      <c r="M148" s="858"/>
      <c r="N148" s="858"/>
      <c r="O148" s="261"/>
      <c r="P148" s="261"/>
      <c r="Q148" s="261"/>
      <c r="R148" s="261"/>
      <c r="S148" s="261"/>
      <c r="T148" s="261"/>
      <c r="U148" s="261"/>
      <c r="V148" s="261"/>
      <c r="W148" s="261"/>
      <c r="X148" s="261"/>
      <c r="Y148" s="261"/>
      <c r="Z148" s="261"/>
      <c r="AA148" s="261"/>
      <c r="AB148" s="261"/>
      <c r="AC148" s="261"/>
      <c r="AD148" s="261"/>
      <c r="AE148" s="261"/>
      <c r="AF148" s="261"/>
    </row>
    <row r="149" spans="2:32" ht="15" customHeight="1" x14ac:dyDescent="0.15">
      <c r="C149" s="12" t="s">
        <v>661</v>
      </c>
      <c r="I149" s="252" t="s">
        <v>2393</v>
      </c>
      <c r="J149" s="267"/>
      <c r="K149" s="267"/>
      <c r="L149" s="267"/>
      <c r="M149" s="267"/>
      <c r="N149" s="867" t="str">
        <f>cst_wskakunin_BUILD_NAME</f>
        <v>三木章史・恵様邸新築工事</v>
      </c>
      <c r="O149" s="867"/>
      <c r="P149" s="867"/>
      <c r="Q149" s="867"/>
      <c r="R149" s="867"/>
      <c r="S149" s="867"/>
      <c r="T149" s="867"/>
      <c r="U149" s="867"/>
      <c r="V149" s="867"/>
      <c r="W149" s="867"/>
      <c r="X149" s="867"/>
      <c r="Y149" s="867"/>
      <c r="Z149" s="867"/>
      <c r="AA149" s="867"/>
      <c r="AB149" s="867"/>
      <c r="AC149" s="867"/>
      <c r="AD149" s="867"/>
    </row>
    <row r="150" spans="2:32" ht="15" customHeight="1" x14ac:dyDescent="0.15">
      <c r="I150" s="868" t="str">
        <f>cst_wskakunin_P2_BIKOU</f>
        <v/>
      </c>
      <c r="J150" s="868"/>
      <c r="K150" s="868"/>
      <c r="L150" s="868"/>
      <c r="M150" s="868"/>
      <c r="N150" s="868"/>
      <c r="O150" s="868"/>
      <c r="P150" s="868"/>
      <c r="Q150" s="868"/>
      <c r="R150" s="868"/>
      <c r="S150" s="868"/>
      <c r="T150" s="868"/>
      <c r="U150" s="868"/>
      <c r="V150" s="868"/>
      <c r="W150" s="868"/>
      <c r="X150" s="868"/>
      <c r="Y150" s="868"/>
      <c r="Z150" s="868"/>
      <c r="AA150" s="868"/>
      <c r="AB150" s="868"/>
      <c r="AC150" s="868"/>
      <c r="AD150" s="868"/>
    </row>
    <row r="151" spans="2:32" ht="15" customHeight="1" x14ac:dyDescent="0.15">
      <c r="I151" s="868"/>
      <c r="J151" s="868"/>
      <c r="K151" s="868"/>
      <c r="L151" s="868"/>
      <c r="M151" s="868"/>
      <c r="N151" s="868"/>
      <c r="O151" s="868"/>
      <c r="P151" s="868"/>
      <c r="Q151" s="868"/>
      <c r="R151" s="868"/>
      <c r="S151" s="868"/>
      <c r="T151" s="868"/>
      <c r="U151" s="868"/>
      <c r="V151" s="868"/>
      <c r="W151" s="868"/>
      <c r="X151" s="868"/>
      <c r="Y151" s="868"/>
      <c r="Z151" s="868"/>
      <c r="AA151" s="868"/>
      <c r="AB151" s="868"/>
      <c r="AC151" s="868"/>
      <c r="AD151" s="868"/>
    </row>
    <row r="152" spans="2:32" ht="15" customHeight="1" x14ac:dyDescent="0.15">
      <c r="B152" s="258"/>
      <c r="C152" s="258"/>
      <c r="D152" s="258"/>
      <c r="E152" s="258"/>
      <c r="F152" s="258"/>
      <c r="G152" s="258"/>
      <c r="H152" s="258"/>
      <c r="I152" s="869"/>
      <c r="J152" s="869"/>
      <c r="K152" s="869"/>
      <c r="L152" s="869"/>
      <c r="M152" s="869"/>
      <c r="N152" s="869"/>
      <c r="O152" s="869"/>
      <c r="P152" s="869"/>
      <c r="Q152" s="869"/>
      <c r="R152" s="869"/>
      <c r="S152" s="869"/>
      <c r="T152" s="869"/>
      <c r="U152" s="869"/>
      <c r="V152" s="869"/>
      <c r="W152" s="869"/>
      <c r="X152" s="869"/>
      <c r="Y152" s="869"/>
      <c r="Z152" s="869"/>
      <c r="AA152" s="869"/>
      <c r="AB152" s="869"/>
      <c r="AC152" s="869"/>
      <c r="AD152" s="869"/>
    </row>
  </sheetData>
  <mergeCells count="174">
    <mergeCell ref="N149:AD149"/>
    <mergeCell ref="I150:AD152"/>
    <mergeCell ref="N144:P144"/>
    <mergeCell ref="T144:X144"/>
    <mergeCell ref="I145:AD145"/>
    <mergeCell ref="I146:K146"/>
    <mergeCell ref="I148:N148"/>
    <mergeCell ref="I137:AD137"/>
    <mergeCell ref="I138:K138"/>
    <mergeCell ref="I140:N140"/>
    <mergeCell ref="K141:AD141"/>
    <mergeCell ref="I143:AC143"/>
    <mergeCell ref="I139:AD139"/>
    <mergeCell ref="I147:AD147"/>
    <mergeCell ref="K133:AD133"/>
    <mergeCell ref="J134:K134"/>
    <mergeCell ref="R134:T134"/>
    <mergeCell ref="X134:Z134"/>
    <mergeCell ref="I135:AD135"/>
    <mergeCell ref="J136:K136"/>
    <mergeCell ref="R136:S136"/>
    <mergeCell ref="X136:Z136"/>
    <mergeCell ref="I127:AD127"/>
    <mergeCell ref="J128:K128"/>
    <mergeCell ref="R128:S128"/>
    <mergeCell ref="X128:Z128"/>
    <mergeCell ref="I129:AD129"/>
    <mergeCell ref="I130:K130"/>
    <mergeCell ref="I132:N132"/>
    <mergeCell ref="I131:AD131"/>
    <mergeCell ref="I121:AD121"/>
    <mergeCell ref="I122:K122"/>
    <mergeCell ref="I124:N124"/>
    <mergeCell ref="K125:AD125"/>
    <mergeCell ref="J126:K126"/>
    <mergeCell ref="R126:T126"/>
    <mergeCell ref="X126:Z126"/>
    <mergeCell ref="K116:AD116"/>
    <mergeCell ref="J118:K118"/>
    <mergeCell ref="R118:T118"/>
    <mergeCell ref="X118:Z118"/>
    <mergeCell ref="I119:AD119"/>
    <mergeCell ref="J120:K120"/>
    <mergeCell ref="R120:S120"/>
    <mergeCell ref="X120:Z120"/>
    <mergeCell ref="I123:AD123"/>
    <mergeCell ref="J111:K111"/>
    <mergeCell ref="R111:S111"/>
    <mergeCell ref="X111:Z111"/>
    <mergeCell ref="I112:AD112"/>
    <mergeCell ref="I113:K113"/>
    <mergeCell ref="I115:N115"/>
    <mergeCell ref="I105:AD105"/>
    <mergeCell ref="K106:AD106"/>
    <mergeCell ref="J109:K109"/>
    <mergeCell ref="R109:T109"/>
    <mergeCell ref="X109:Z109"/>
    <mergeCell ref="I110:AD110"/>
    <mergeCell ref="I114:AD114"/>
    <mergeCell ref="I98:AD98"/>
    <mergeCell ref="K99:AD99"/>
    <mergeCell ref="I100:AD100"/>
    <mergeCell ref="I101:AD101"/>
    <mergeCell ref="I102:K102"/>
    <mergeCell ref="I104:N104"/>
    <mergeCell ref="I91:AD91"/>
    <mergeCell ref="K92:AD92"/>
    <mergeCell ref="I93:AD93"/>
    <mergeCell ref="I94:AD94"/>
    <mergeCell ref="I95:K95"/>
    <mergeCell ref="I97:N97"/>
    <mergeCell ref="I96:AD96"/>
    <mergeCell ref="I103:AD103"/>
    <mergeCell ref="K84:AD84"/>
    <mergeCell ref="I86:AD86"/>
    <mergeCell ref="I87:AD87"/>
    <mergeCell ref="I88:K88"/>
    <mergeCell ref="I90:N90"/>
    <mergeCell ref="I78:AD78"/>
    <mergeCell ref="I79:AD79"/>
    <mergeCell ref="I80:K80"/>
    <mergeCell ref="I82:N82"/>
    <mergeCell ref="I83:AD83"/>
    <mergeCell ref="I81:AD81"/>
    <mergeCell ref="I89:AD89"/>
    <mergeCell ref="P72:Z72"/>
    <mergeCell ref="I73:O73"/>
    <mergeCell ref="P73:Z73"/>
    <mergeCell ref="P74:Z74"/>
    <mergeCell ref="I75:O75"/>
    <mergeCell ref="P75:Z75"/>
    <mergeCell ref="P67:Z67"/>
    <mergeCell ref="I68:O68"/>
    <mergeCell ref="P68:Z68"/>
    <mergeCell ref="P70:Z70"/>
    <mergeCell ref="I71:O71"/>
    <mergeCell ref="P71:Z71"/>
    <mergeCell ref="P63:Z63"/>
    <mergeCell ref="I64:O64"/>
    <mergeCell ref="P64:Z64"/>
    <mergeCell ref="P65:Z65"/>
    <mergeCell ref="I66:O66"/>
    <mergeCell ref="P66:Z66"/>
    <mergeCell ref="P57:Z57"/>
    <mergeCell ref="I58:O58"/>
    <mergeCell ref="P58:Z58"/>
    <mergeCell ref="P60:Z60"/>
    <mergeCell ref="I61:O61"/>
    <mergeCell ref="P61:Z61"/>
    <mergeCell ref="L53:AD53"/>
    <mergeCell ref="I41:AD41"/>
    <mergeCell ref="I42:K42"/>
    <mergeCell ref="I44:N44"/>
    <mergeCell ref="J38:K38"/>
    <mergeCell ref="R38:T38"/>
    <mergeCell ref="X38:Z38"/>
    <mergeCell ref="I39:AD39"/>
    <mergeCell ref="J40:K40"/>
    <mergeCell ref="R40:S40"/>
    <mergeCell ref="X40:Z40"/>
    <mergeCell ref="I43:AD43"/>
    <mergeCell ref="L45:AD45"/>
    <mergeCell ref="I49:AD49"/>
    <mergeCell ref="I50:K50"/>
    <mergeCell ref="I52:N52"/>
    <mergeCell ref="J46:K46"/>
    <mergeCell ref="R46:T46"/>
    <mergeCell ref="X46:Z46"/>
    <mergeCell ref="I47:AD47"/>
    <mergeCell ref="J48:K48"/>
    <mergeCell ref="R48:S48"/>
    <mergeCell ref="X48:Z48"/>
    <mergeCell ref="I51:AD51"/>
    <mergeCell ref="L37:AD37"/>
    <mergeCell ref="I24:AD24"/>
    <mergeCell ref="I25:K25"/>
    <mergeCell ref="I27:N27"/>
    <mergeCell ref="J21:K21"/>
    <mergeCell ref="R21:T21"/>
    <mergeCell ref="X21:Z21"/>
    <mergeCell ref="I22:AD22"/>
    <mergeCell ref="J23:K23"/>
    <mergeCell ref="R23:S23"/>
    <mergeCell ref="X23:Z23"/>
    <mergeCell ref="L28:AD28"/>
    <mergeCell ref="I26:AD26"/>
    <mergeCell ref="I33:AD33"/>
    <mergeCell ref="I34:K34"/>
    <mergeCell ref="I36:N36"/>
    <mergeCell ref="J30:K30"/>
    <mergeCell ref="R30:T30"/>
    <mergeCell ref="X30:Z30"/>
    <mergeCell ref="I31:AD31"/>
    <mergeCell ref="J32:K32"/>
    <mergeCell ref="R32:S32"/>
    <mergeCell ref="X32:Z32"/>
    <mergeCell ref="I35:AD35"/>
    <mergeCell ref="A1:AF1"/>
    <mergeCell ref="I13:AD13"/>
    <mergeCell ref="I9:AD10"/>
    <mergeCell ref="J14:K14"/>
    <mergeCell ref="R14:S14"/>
    <mergeCell ref="X14:Z14"/>
    <mergeCell ref="I15:AD15"/>
    <mergeCell ref="I16:K16"/>
    <mergeCell ref="I18:N18"/>
    <mergeCell ref="C3:AD3"/>
    <mergeCell ref="I6:AD6"/>
    <mergeCell ref="I7:AD7"/>
    <mergeCell ref="I8:K8"/>
    <mergeCell ref="J12:K12"/>
    <mergeCell ref="R12:T12"/>
    <mergeCell ref="X12:Z12"/>
    <mergeCell ref="I17:AD17"/>
  </mergeCells>
  <phoneticPr fontId="32"/>
  <printOptions horizontalCentered="1"/>
  <pageMargins left="0.59055118110236227" right="0.59055118110236227" top="0.78740157480314965" bottom="0.39370078740157483" header="0" footer="0.19685039370078741"/>
  <pageSetup paperSize="9" scale="94" fitToHeight="3" orientation="portrait" blackAndWhite="1" r:id="rId1"/>
  <rowBreaks count="2" manualBreakCount="2">
    <brk id="53" max="16383" man="1"/>
    <brk id="10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D85"/>
  <sheetViews>
    <sheetView zoomScaleNormal="100" zoomScaleSheetLayoutView="110" workbookViewId="0"/>
  </sheetViews>
  <sheetFormatPr defaultColWidth="9" defaultRowHeight="11.25" x14ac:dyDescent="0.15"/>
  <cols>
    <col min="1" max="2" width="1.75" style="252" customWidth="1"/>
    <col min="3" max="3" width="2.875" style="252" customWidth="1"/>
    <col min="4" max="4" width="3" style="252" customWidth="1"/>
    <col min="5" max="6" width="3.625" style="252" customWidth="1"/>
    <col min="7" max="7" width="3.25" style="252" customWidth="1"/>
    <col min="8" max="8" width="1.375" style="252" customWidth="1"/>
    <col min="9" max="9" width="2.125" style="252" customWidth="1"/>
    <col min="10" max="11" width="3" style="252" customWidth="1"/>
    <col min="12" max="14" width="2.875" style="252" customWidth="1"/>
    <col min="15" max="15" width="3" style="252" customWidth="1"/>
    <col min="16" max="16" width="2.875" style="252" customWidth="1"/>
    <col min="17" max="17" width="2.125" style="252" customWidth="1"/>
    <col min="18" max="19" width="2.75" style="252" customWidth="1"/>
    <col min="20" max="21" width="2.125" style="252" customWidth="1"/>
    <col min="22" max="59" width="2.875" style="252" customWidth="1"/>
    <col min="60" max="256" width="9" style="252" customWidth="1"/>
    <col min="257" max="258" width="1.75" style="252" customWidth="1"/>
    <col min="259" max="259" width="2.875" style="252" customWidth="1"/>
    <col min="260" max="260" width="3" style="252" customWidth="1"/>
    <col min="261" max="262" width="3.625" style="252" customWidth="1"/>
    <col min="263" max="263" width="3.25" style="252" customWidth="1"/>
    <col min="264" max="264" width="1.375" style="252" customWidth="1"/>
    <col min="265" max="265" width="2.125" style="252" customWidth="1"/>
    <col min="266" max="267" width="3" style="252" customWidth="1"/>
    <col min="268" max="270" width="2.875" style="252" customWidth="1"/>
    <col min="271" max="271" width="3" style="252" customWidth="1"/>
    <col min="272" max="272" width="2.875" style="252" customWidth="1"/>
    <col min="273" max="273" width="2.125" style="252" customWidth="1"/>
    <col min="274" max="275" width="2.75" style="252" customWidth="1"/>
    <col min="276" max="277" width="2.125" style="252" customWidth="1"/>
    <col min="278" max="315" width="2.875" style="252" customWidth="1"/>
    <col min="316" max="512" width="9" style="252" customWidth="1"/>
    <col min="513" max="514" width="1.75" style="252" customWidth="1"/>
    <col min="515" max="515" width="2.875" style="252" customWidth="1"/>
    <col min="516" max="516" width="3" style="252" customWidth="1"/>
    <col min="517" max="518" width="3.625" style="252" customWidth="1"/>
    <col min="519" max="519" width="3.25" style="252" customWidth="1"/>
    <col min="520" max="520" width="1.375" style="252" customWidth="1"/>
    <col min="521" max="521" width="2.125" style="252" customWidth="1"/>
    <col min="522" max="523" width="3" style="252" customWidth="1"/>
    <col min="524" max="526" width="2.875" style="252" customWidth="1"/>
    <col min="527" max="527" width="3" style="252" customWidth="1"/>
    <col min="528" max="528" width="2.875" style="252" customWidth="1"/>
    <col min="529" max="529" width="2.125" style="252" customWidth="1"/>
    <col min="530" max="531" width="2.75" style="252" customWidth="1"/>
    <col min="532" max="533" width="2.125" style="252" customWidth="1"/>
    <col min="534" max="571" width="2.875" style="252" customWidth="1"/>
    <col min="572" max="768" width="9" style="252" customWidth="1"/>
    <col min="769" max="770" width="1.75" style="252" customWidth="1"/>
    <col min="771" max="771" width="2.875" style="252" customWidth="1"/>
    <col min="772" max="772" width="3" style="252" customWidth="1"/>
    <col min="773" max="774" width="3.625" style="252" customWidth="1"/>
    <col min="775" max="775" width="3.25" style="252" customWidth="1"/>
    <col min="776" max="776" width="1.375" style="252" customWidth="1"/>
    <col min="777" max="777" width="2.125" style="252" customWidth="1"/>
    <col min="778" max="779" width="3" style="252" customWidth="1"/>
    <col min="780" max="782" width="2.875" style="252" customWidth="1"/>
    <col min="783" max="783" width="3" style="252" customWidth="1"/>
    <col min="784" max="784" width="2.875" style="252" customWidth="1"/>
    <col min="785" max="785" width="2.125" style="252" customWidth="1"/>
    <col min="786" max="787" width="2.75" style="252" customWidth="1"/>
    <col min="788" max="789" width="2.125" style="252" customWidth="1"/>
    <col min="790" max="827" width="2.875" style="252" customWidth="1"/>
    <col min="828" max="1024" width="9" style="252" customWidth="1"/>
    <col min="1025" max="1026" width="1.75" style="252" customWidth="1"/>
    <col min="1027" max="1027" width="2.875" style="252" customWidth="1"/>
    <col min="1028" max="1028" width="3" style="252" customWidth="1"/>
    <col min="1029" max="1030" width="3.625" style="252" customWidth="1"/>
    <col min="1031" max="1031" width="3.25" style="252" customWidth="1"/>
    <col min="1032" max="1032" width="1.375" style="252" customWidth="1"/>
    <col min="1033" max="1033" width="2.125" style="252" customWidth="1"/>
    <col min="1034" max="1035" width="3" style="252" customWidth="1"/>
    <col min="1036" max="1038" width="2.875" style="252" customWidth="1"/>
    <col min="1039" max="1039" width="3" style="252" customWidth="1"/>
    <col min="1040" max="1040" width="2.875" style="252" customWidth="1"/>
    <col min="1041" max="1041" width="2.125" style="252" customWidth="1"/>
    <col min="1042" max="1043" width="2.75" style="252" customWidth="1"/>
    <col min="1044" max="1045" width="2.125" style="252" customWidth="1"/>
    <col min="1046" max="1083" width="2.875" style="252" customWidth="1"/>
    <col min="1084" max="1280" width="9" style="252" customWidth="1"/>
    <col min="1281" max="1282" width="1.75" style="252" customWidth="1"/>
    <col min="1283" max="1283" width="2.875" style="252" customWidth="1"/>
    <col min="1284" max="1284" width="3" style="252" customWidth="1"/>
    <col min="1285" max="1286" width="3.625" style="252" customWidth="1"/>
    <col min="1287" max="1287" width="3.25" style="252" customWidth="1"/>
    <col min="1288" max="1288" width="1.375" style="252" customWidth="1"/>
    <col min="1289" max="1289" width="2.125" style="252" customWidth="1"/>
    <col min="1290" max="1291" width="3" style="252" customWidth="1"/>
    <col min="1292" max="1294" width="2.875" style="252" customWidth="1"/>
    <col min="1295" max="1295" width="3" style="252" customWidth="1"/>
    <col min="1296" max="1296" width="2.875" style="252" customWidth="1"/>
    <col min="1297" max="1297" width="2.125" style="252" customWidth="1"/>
    <col min="1298" max="1299" width="2.75" style="252" customWidth="1"/>
    <col min="1300" max="1301" width="2.125" style="252" customWidth="1"/>
    <col min="1302" max="1339" width="2.875" style="252" customWidth="1"/>
    <col min="1340" max="1536" width="9" style="252" customWidth="1"/>
    <col min="1537" max="1538" width="1.75" style="252" customWidth="1"/>
    <col min="1539" max="1539" width="2.875" style="252" customWidth="1"/>
    <col min="1540" max="1540" width="3" style="252" customWidth="1"/>
    <col min="1541" max="1542" width="3.625" style="252" customWidth="1"/>
    <col min="1543" max="1543" width="3.25" style="252" customWidth="1"/>
    <col min="1544" max="1544" width="1.375" style="252" customWidth="1"/>
    <col min="1545" max="1545" width="2.125" style="252" customWidth="1"/>
    <col min="1546" max="1547" width="3" style="252" customWidth="1"/>
    <col min="1548" max="1550" width="2.875" style="252" customWidth="1"/>
    <col min="1551" max="1551" width="3" style="252" customWidth="1"/>
    <col min="1552" max="1552" width="2.875" style="252" customWidth="1"/>
    <col min="1553" max="1553" width="2.125" style="252" customWidth="1"/>
    <col min="1554" max="1555" width="2.75" style="252" customWidth="1"/>
    <col min="1556" max="1557" width="2.125" style="252" customWidth="1"/>
    <col min="1558" max="1595" width="2.875" style="252" customWidth="1"/>
    <col min="1596" max="1792" width="9" style="252" customWidth="1"/>
    <col min="1793" max="1794" width="1.75" style="252" customWidth="1"/>
    <col min="1795" max="1795" width="2.875" style="252" customWidth="1"/>
    <col min="1796" max="1796" width="3" style="252" customWidth="1"/>
    <col min="1797" max="1798" width="3.625" style="252" customWidth="1"/>
    <col min="1799" max="1799" width="3.25" style="252" customWidth="1"/>
    <col min="1800" max="1800" width="1.375" style="252" customWidth="1"/>
    <col min="1801" max="1801" width="2.125" style="252" customWidth="1"/>
    <col min="1802" max="1803" width="3" style="252" customWidth="1"/>
    <col min="1804" max="1806" width="2.875" style="252" customWidth="1"/>
    <col min="1807" max="1807" width="3" style="252" customWidth="1"/>
    <col min="1808" max="1808" width="2.875" style="252" customWidth="1"/>
    <col min="1809" max="1809" width="2.125" style="252" customWidth="1"/>
    <col min="1810" max="1811" width="2.75" style="252" customWidth="1"/>
    <col min="1812" max="1813" width="2.125" style="252" customWidth="1"/>
    <col min="1814" max="1851" width="2.875" style="252" customWidth="1"/>
    <col min="1852" max="2048" width="9" style="252" customWidth="1"/>
    <col min="2049" max="2050" width="1.75" style="252" customWidth="1"/>
    <col min="2051" max="2051" width="2.875" style="252" customWidth="1"/>
    <col min="2052" max="2052" width="3" style="252" customWidth="1"/>
    <col min="2053" max="2054" width="3.625" style="252" customWidth="1"/>
    <col min="2055" max="2055" width="3.25" style="252" customWidth="1"/>
    <col min="2056" max="2056" width="1.375" style="252" customWidth="1"/>
    <col min="2057" max="2057" width="2.125" style="252" customWidth="1"/>
    <col min="2058" max="2059" width="3" style="252" customWidth="1"/>
    <col min="2060" max="2062" width="2.875" style="252" customWidth="1"/>
    <col min="2063" max="2063" width="3" style="252" customWidth="1"/>
    <col min="2064" max="2064" width="2.875" style="252" customWidth="1"/>
    <col min="2065" max="2065" width="2.125" style="252" customWidth="1"/>
    <col min="2066" max="2067" width="2.75" style="252" customWidth="1"/>
    <col min="2068" max="2069" width="2.125" style="252" customWidth="1"/>
    <col min="2070" max="2107" width="2.875" style="252" customWidth="1"/>
    <col min="2108" max="2304" width="9" style="252" customWidth="1"/>
    <col min="2305" max="2306" width="1.75" style="252" customWidth="1"/>
    <col min="2307" max="2307" width="2.875" style="252" customWidth="1"/>
    <col min="2308" max="2308" width="3" style="252" customWidth="1"/>
    <col min="2309" max="2310" width="3.625" style="252" customWidth="1"/>
    <col min="2311" max="2311" width="3.25" style="252" customWidth="1"/>
    <col min="2312" max="2312" width="1.375" style="252" customWidth="1"/>
    <col min="2313" max="2313" width="2.125" style="252" customWidth="1"/>
    <col min="2314" max="2315" width="3" style="252" customWidth="1"/>
    <col min="2316" max="2318" width="2.875" style="252" customWidth="1"/>
    <col min="2319" max="2319" width="3" style="252" customWidth="1"/>
    <col min="2320" max="2320" width="2.875" style="252" customWidth="1"/>
    <col min="2321" max="2321" width="2.125" style="252" customWidth="1"/>
    <col min="2322" max="2323" width="2.75" style="252" customWidth="1"/>
    <col min="2324" max="2325" width="2.125" style="252" customWidth="1"/>
    <col min="2326" max="2363" width="2.875" style="252" customWidth="1"/>
    <col min="2364" max="2560" width="9" style="252" customWidth="1"/>
    <col min="2561" max="2562" width="1.75" style="252" customWidth="1"/>
    <col min="2563" max="2563" width="2.875" style="252" customWidth="1"/>
    <col min="2564" max="2564" width="3" style="252" customWidth="1"/>
    <col min="2565" max="2566" width="3.625" style="252" customWidth="1"/>
    <col min="2567" max="2567" width="3.25" style="252" customWidth="1"/>
    <col min="2568" max="2568" width="1.375" style="252" customWidth="1"/>
    <col min="2569" max="2569" width="2.125" style="252" customWidth="1"/>
    <col min="2570" max="2571" width="3" style="252" customWidth="1"/>
    <col min="2572" max="2574" width="2.875" style="252" customWidth="1"/>
    <col min="2575" max="2575" width="3" style="252" customWidth="1"/>
    <col min="2576" max="2576" width="2.875" style="252" customWidth="1"/>
    <col min="2577" max="2577" width="2.125" style="252" customWidth="1"/>
    <col min="2578" max="2579" width="2.75" style="252" customWidth="1"/>
    <col min="2580" max="2581" width="2.125" style="252" customWidth="1"/>
    <col min="2582" max="2619" width="2.875" style="252" customWidth="1"/>
    <col min="2620" max="2816" width="9" style="252" customWidth="1"/>
    <col min="2817" max="2818" width="1.75" style="252" customWidth="1"/>
    <col min="2819" max="2819" width="2.875" style="252" customWidth="1"/>
    <col min="2820" max="2820" width="3" style="252" customWidth="1"/>
    <col min="2821" max="2822" width="3.625" style="252" customWidth="1"/>
    <col min="2823" max="2823" width="3.25" style="252" customWidth="1"/>
    <col min="2824" max="2824" width="1.375" style="252" customWidth="1"/>
    <col min="2825" max="2825" width="2.125" style="252" customWidth="1"/>
    <col min="2826" max="2827" width="3" style="252" customWidth="1"/>
    <col min="2828" max="2830" width="2.875" style="252" customWidth="1"/>
    <col min="2831" max="2831" width="3" style="252" customWidth="1"/>
    <col min="2832" max="2832" width="2.875" style="252" customWidth="1"/>
    <col min="2833" max="2833" width="2.125" style="252" customWidth="1"/>
    <col min="2834" max="2835" width="2.75" style="252" customWidth="1"/>
    <col min="2836" max="2837" width="2.125" style="252" customWidth="1"/>
    <col min="2838" max="2875" width="2.875" style="252" customWidth="1"/>
    <col min="2876" max="3072" width="9" style="252" customWidth="1"/>
    <col min="3073" max="3074" width="1.75" style="252" customWidth="1"/>
    <col min="3075" max="3075" width="2.875" style="252" customWidth="1"/>
    <col min="3076" max="3076" width="3" style="252" customWidth="1"/>
    <col min="3077" max="3078" width="3.625" style="252" customWidth="1"/>
    <col min="3079" max="3079" width="3.25" style="252" customWidth="1"/>
    <col min="3080" max="3080" width="1.375" style="252" customWidth="1"/>
    <col min="3081" max="3081" width="2.125" style="252" customWidth="1"/>
    <col min="3082" max="3083" width="3" style="252" customWidth="1"/>
    <col min="3084" max="3086" width="2.875" style="252" customWidth="1"/>
    <col min="3087" max="3087" width="3" style="252" customWidth="1"/>
    <col min="3088" max="3088" width="2.875" style="252" customWidth="1"/>
    <col min="3089" max="3089" width="2.125" style="252" customWidth="1"/>
    <col min="3090" max="3091" width="2.75" style="252" customWidth="1"/>
    <col min="3092" max="3093" width="2.125" style="252" customWidth="1"/>
    <col min="3094" max="3131" width="2.875" style="252" customWidth="1"/>
    <col min="3132" max="3328" width="9" style="252" customWidth="1"/>
    <col min="3329" max="3330" width="1.75" style="252" customWidth="1"/>
    <col min="3331" max="3331" width="2.875" style="252" customWidth="1"/>
    <col min="3332" max="3332" width="3" style="252" customWidth="1"/>
    <col min="3333" max="3334" width="3.625" style="252" customWidth="1"/>
    <col min="3335" max="3335" width="3.25" style="252" customWidth="1"/>
    <col min="3336" max="3336" width="1.375" style="252" customWidth="1"/>
    <col min="3337" max="3337" width="2.125" style="252" customWidth="1"/>
    <col min="3338" max="3339" width="3" style="252" customWidth="1"/>
    <col min="3340" max="3342" width="2.875" style="252" customWidth="1"/>
    <col min="3343" max="3343" width="3" style="252" customWidth="1"/>
    <col min="3344" max="3344" width="2.875" style="252" customWidth="1"/>
    <col min="3345" max="3345" width="2.125" style="252" customWidth="1"/>
    <col min="3346" max="3347" width="2.75" style="252" customWidth="1"/>
    <col min="3348" max="3349" width="2.125" style="252" customWidth="1"/>
    <col min="3350" max="3387" width="2.875" style="252" customWidth="1"/>
    <col min="3388" max="3584" width="9" style="252" customWidth="1"/>
    <col min="3585" max="3586" width="1.75" style="252" customWidth="1"/>
    <col min="3587" max="3587" width="2.875" style="252" customWidth="1"/>
    <col min="3588" max="3588" width="3" style="252" customWidth="1"/>
    <col min="3589" max="3590" width="3.625" style="252" customWidth="1"/>
    <col min="3591" max="3591" width="3.25" style="252" customWidth="1"/>
    <col min="3592" max="3592" width="1.375" style="252" customWidth="1"/>
    <col min="3593" max="3593" width="2.125" style="252" customWidth="1"/>
    <col min="3594" max="3595" width="3" style="252" customWidth="1"/>
    <col min="3596" max="3598" width="2.875" style="252" customWidth="1"/>
    <col min="3599" max="3599" width="3" style="252" customWidth="1"/>
    <col min="3600" max="3600" width="2.875" style="252" customWidth="1"/>
    <col min="3601" max="3601" width="2.125" style="252" customWidth="1"/>
    <col min="3602" max="3603" width="2.75" style="252" customWidth="1"/>
    <col min="3604" max="3605" width="2.125" style="252" customWidth="1"/>
    <col min="3606" max="3643" width="2.875" style="252" customWidth="1"/>
    <col min="3644" max="3840" width="9" style="252" customWidth="1"/>
    <col min="3841" max="3842" width="1.75" style="252" customWidth="1"/>
    <col min="3843" max="3843" width="2.875" style="252" customWidth="1"/>
    <col min="3844" max="3844" width="3" style="252" customWidth="1"/>
    <col min="3845" max="3846" width="3.625" style="252" customWidth="1"/>
    <col min="3847" max="3847" width="3.25" style="252" customWidth="1"/>
    <col min="3848" max="3848" width="1.375" style="252" customWidth="1"/>
    <col min="3849" max="3849" width="2.125" style="252" customWidth="1"/>
    <col min="3850" max="3851" width="3" style="252" customWidth="1"/>
    <col min="3852" max="3854" width="2.875" style="252" customWidth="1"/>
    <col min="3855" max="3855" width="3" style="252" customWidth="1"/>
    <col min="3856" max="3856" width="2.875" style="252" customWidth="1"/>
    <col min="3857" max="3857" width="2.125" style="252" customWidth="1"/>
    <col min="3858" max="3859" width="2.75" style="252" customWidth="1"/>
    <col min="3860" max="3861" width="2.125" style="252" customWidth="1"/>
    <col min="3862" max="3899" width="2.875" style="252" customWidth="1"/>
    <col min="3900" max="4096" width="9" style="252" customWidth="1"/>
    <col min="4097" max="4098" width="1.75" style="252" customWidth="1"/>
    <col min="4099" max="4099" width="2.875" style="252" customWidth="1"/>
    <col min="4100" max="4100" width="3" style="252" customWidth="1"/>
    <col min="4101" max="4102" width="3.625" style="252" customWidth="1"/>
    <col min="4103" max="4103" width="3.25" style="252" customWidth="1"/>
    <col min="4104" max="4104" width="1.375" style="252" customWidth="1"/>
    <col min="4105" max="4105" width="2.125" style="252" customWidth="1"/>
    <col min="4106" max="4107" width="3" style="252" customWidth="1"/>
    <col min="4108" max="4110" width="2.875" style="252" customWidth="1"/>
    <col min="4111" max="4111" width="3" style="252" customWidth="1"/>
    <col min="4112" max="4112" width="2.875" style="252" customWidth="1"/>
    <col min="4113" max="4113" width="2.125" style="252" customWidth="1"/>
    <col min="4114" max="4115" width="2.75" style="252" customWidth="1"/>
    <col min="4116" max="4117" width="2.125" style="252" customWidth="1"/>
    <col min="4118" max="4155" width="2.875" style="252" customWidth="1"/>
    <col min="4156" max="4352" width="9" style="252" customWidth="1"/>
    <col min="4353" max="4354" width="1.75" style="252" customWidth="1"/>
    <col min="4355" max="4355" width="2.875" style="252" customWidth="1"/>
    <col min="4356" max="4356" width="3" style="252" customWidth="1"/>
    <col min="4357" max="4358" width="3.625" style="252" customWidth="1"/>
    <col min="4359" max="4359" width="3.25" style="252" customWidth="1"/>
    <col min="4360" max="4360" width="1.375" style="252" customWidth="1"/>
    <col min="4361" max="4361" width="2.125" style="252" customWidth="1"/>
    <col min="4362" max="4363" width="3" style="252" customWidth="1"/>
    <col min="4364" max="4366" width="2.875" style="252" customWidth="1"/>
    <col min="4367" max="4367" width="3" style="252" customWidth="1"/>
    <col min="4368" max="4368" width="2.875" style="252" customWidth="1"/>
    <col min="4369" max="4369" width="2.125" style="252" customWidth="1"/>
    <col min="4370" max="4371" width="2.75" style="252" customWidth="1"/>
    <col min="4372" max="4373" width="2.125" style="252" customWidth="1"/>
    <col min="4374" max="4411" width="2.875" style="252" customWidth="1"/>
    <col min="4412" max="4608" width="9" style="252" customWidth="1"/>
    <col min="4609" max="4610" width="1.75" style="252" customWidth="1"/>
    <col min="4611" max="4611" width="2.875" style="252" customWidth="1"/>
    <col min="4612" max="4612" width="3" style="252" customWidth="1"/>
    <col min="4613" max="4614" width="3.625" style="252" customWidth="1"/>
    <col min="4615" max="4615" width="3.25" style="252" customWidth="1"/>
    <col min="4616" max="4616" width="1.375" style="252" customWidth="1"/>
    <col min="4617" max="4617" width="2.125" style="252" customWidth="1"/>
    <col min="4618" max="4619" width="3" style="252" customWidth="1"/>
    <col min="4620" max="4622" width="2.875" style="252" customWidth="1"/>
    <col min="4623" max="4623" width="3" style="252" customWidth="1"/>
    <col min="4624" max="4624" width="2.875" style="252" customWidth="1"/>
    <col min="4625" max="4625" width="2.125" style="252" customWidth="1"/>
    <col min="4626" max="4627" width="2.75" style="252" customWidth="1"/>
    <col min="4628" max="4629" width="2.125" style="252" customWidth="1"/>
    <col min="4630" max="4667" width="2.875" style="252" customWidth="1"/>
    <col min="4668" max="4864" width="9" style="252" customWidth="1"/>
    <col min="4865" max="4866" width="1.75" style="252" customWidth="1"/>
    <col min="4867" max="4867" width="2.875" style="252" customWidth="1"/>
    <col min="4868" max="4868" width="3" style="252" customWidth="1"/>
    <col min="4869" max="4870" width="3.625" style="252" customWidth="1"/>
    <col min="4871" max="4871" width="3.25" style="252" customWidth="1"/>
    <col min="4872" max="4872" width="1.375" style="252" customWidth="1"/>
    <col min="4873" max="4873" width="2.125" style="252" customWidth="1"/>
    <col min="4874" max="4875" width="3" style="252" customWidth="1"/>
    <col min="4876" max="4878" width="2.875" style="252" customWidth="1"/>
    <col min="4879" max="4879" width="3" style="252" customWidth="1"/>
    <col min="4880" max="4880" width="2.875" style="252" customWidth="1"/>
    <col min="4881" max="4881" width="2.125" style="252" customWidth="1"/>
    <col min="4882" max="4883" width="2.75" style="252" customWidth="1"/>
    <col min="4884" max="4885" width="2.125" style="252" customWidth="1"/>
    <col min="4886" max="4923" width="2.875" style="252" customWidth="1"/>
    <col min="4924" max="5120" width="9" style="252" customWidth="1"/>
    <col min="5121" max="5122" width="1.75" style="252" customWidth="1"/>
    <col min="5123" max="5123" width="2.875" style="252" customWidth="1"/>
    <col min="5124" max="5124" width="3" style="252" customWidth="1"/>
    <col min="5125" max="5126" width="3.625" style="252" customWidth="1"/>
    <col min="5127" max="5127" width="3.25" style="252" customWidth="1"/>
    <col min="5128" max="5128" width="1.375" style="252" customWidth="1"/>
    <col min="5129" max="5129" width="2.125" style="252" customWidth="1"/>
    <col min="5130" max="5131" width="3" style="252" customWidth="1"/>
    <col min="5132" max="5134" width="2.875" style="252" customWidth="1"/>
    <col min="5135" max="5135" width="3" style="252" customWidth="1"/>
    <col min="5136" max="5136" width="2.875" style="252" customWidth="1"/>
    <col min="5137" max="5137" width="2.125" style="252" customWidth="1"/>
    <col min="5138" max="5139" width="2.75" style="252" customWidth="1"/>
    <col min="5140" max="5141" width="2.125" style="252" customWidth="1"/>
    <col min="5142" max="5179" width="2.875" style="252" customWidth="1"/>
    <col min="5180" max="5376" width="9" style="252" customWidth="1"/>
    <col min="5377" max="5378" width="1.75" style="252" customWidth="1"/>
    <col min="5379" max="5379" width="2.875" style="252" customWidth="1"/>
    <col min="5380" max="5380" width="3" style="252" customWidth="1"/>
    <col min="5381" max="5382" width="3.625" style="252" customWidth="1"/>
    <col min="5383" max="5383" width="3.25" style="252" customWidth="1"/>
    <col min="5384" max="5384" width="1.375" style="252" customWidth="1"/>
    <col min="5385" max="5385" width="2.125" style="252" customWidth="1"/>
    <col min="5386" max="5387" width="3" style="252" customWidth="1"/>
    <col min="5388" max="5390" width="2.875" style="252" customWidth="1"/>
    <col min="5391" max="5391" width="3" style="252" customWidth="1"/>
    <col min="5392" max="5392" width="2.875" style="252" customWidth="1"/>
    <col min="5393" max="5393" width="2.125" style="252" customWidth="1"/>
    <col min="5394" max="5395" width="2.75" style="252" customWidth="1"/>
    <col min="5396" max="5397" width="2.125" style="252" customWidth="1"/>
    <col min="5398" max="5435" width="2.875" style="252" customWidth="1"/>
    <col min="5436" max="5632" width="9" style="252" customWidth="1"/>
    <col min="5633" max="5634" width="1.75" style="252" customWidth="1"/>
    <col min="5635" max="5635" width="2.875" style="252" customWidth="1"/>
    <col min="5636" max="5636" width="3" style="252" customWidth="1"/>
    <col min="5637" max="5638" width="3.625" style="252" customWidth="1"/>
    <col min="5639" max="5639" width="3.25" style="252" customWidth="1"/>
    <col min="5640" max="5640" width="1.375" style="252" customWidth="1"/>
    <col min="5641" max="5641" width="2.125" style="252" customWidth="1"/>
    <col min="5642" max="5643" width="3" style="252" customWidth="1"/>
    <col min="5644" max="5646" width="2.875" style="252" customWidth="1"/>
    <col min="5647" max="5647" width="3" style="252" customWidth="1"/>
    <col min="5648" max="5648" width="2.875" style="252" customWidth="1"/>
    <col min="5649" max="5649" width="2.125" style="252" customWidth="1"/>
    <col min="5650" max="5651" width="2.75" style="252" customWidth="1"/>
    <col min="5652" max="5653" width="2.125" style="252" customWidth="1"/>
    <col min="5654" max="5691" width="2.875" style="252" customWidth="1"/>
    <col min="5692" max="5888" width="9" style="252" customWidth="1"/>
    <col min="5889" max="5890" width="1.75" style="252" customWidth="1"/>
    <col min="5891" max="5891" width="2.875" style="252" customWidth="1"/>
    <col min="5892" max="5892" width="3" style="252" customWidth="1"/>
    <col min="5893" max="5894" width="3.625" style="252" customWidth="1"/>
    <col min="5895" max="5895" width="3.25" style="252" customWidth="1"/>
    <col min="5896" max="5896" width="1.375" style="252" customWidth="1"/>
    <col min="5897" max="5897" width="2.125" style="252" customWidth="1"/>
    <col min="5898" max="5899" width="3" style="252" customWidth="1"/>
    <col min="5900" max="5902" width="2.875" style="252" customWidth="1"/>
    <col min="5903" max="5903" width="3" style="252" customWidth="1"/>
    <col min="5904" max="5904" width="2.875" style="252" customWidth="1"/>
    <col min="5905" max="5905" width="2.125" style="252" customWidth="1"/>
    <col min="5906" max="5907" width="2.75" style="252" customWidth="1"/>
    <col min="5908" max="5909" width="2.125" style="252" customWidth="1"/>
    <col min="5910" max="5947" width="2.875" style="252" customWidth="1"/>
    <col min="5948" max="6144" width="9" style="252" customWidth="1"/>
    <col min="6145" max="6146" width="1.75" style="252" customWidth="1"/>
    <col min="6147" max="6147" width="2.875" style="252" customWidth="1"/>
    <col min="6148" max="6148" width="3" style="252" customWidth="1"/>
    <col min="6149" max="6150" width="3.625" style="252" customWidth="1"/>
    <col min="6151" max="6151" width="3.25" style="252" customWidth="1"/>
    <col min="6152" max="6152" width="1.375" style="252" customWidth="1"/>
    <col min="6153" max="6153" width="2.125" style="252" customWidth="1"/>
    <col min="6154" max="6155" width="3" style="252" customWidth="1"/>
    <col min="6156" max="6158" width="2.875" style="252" customWidth="1"/>
    <col min="6159" max="6159" width="3" style="252" customWidth="1"/>
    <col min="6160" max="6160" width="2.875" style="252" customWidth="1"/>
    <col min="6161" max="6161" width="2.125" style="252" customWidth="1"/>
    <col min="6162" max="6163" width="2.75" style="252" customWidth="1"/>
    <col min="6164" max="6165" width="2.125" style="252" customWidth="1"/>
    <col min="6166" max="6203" width="2.875" style="252" customWidth="1"/>
    <col min="6204" max="6400" width="9" style="252" customWidth="1"/>
    <col min="6401" max="6402" width="1.75" style="252" customWidth="1"/>
    <col min="6403" max="6403" width="2.875" style="252" customWidth="1"/>
    <col min="6404" max="6404" width="3" style="252" customWidth="1"/>
    <col min="6405" max="6406" width="3.625" style="252" customWidth="1"/>
    <col min="6407" max="6407" width="3.25" style="252" customWidth="1"/>
    <col min="6408" max="6408" width="1.375" style="252" customWidth="1"/>
    <col min="6409" max="6409" width="2.125" style="252" customWidth="1"/>
    <col min="6410" max="6411" width="3" style="252" customWidth="1"/>
    <col min="6412" max="6414" width="2.875" style="252" customWidth="1"/>
    <col min="6415" max="6415" width="3" style="252" customWidth="1"/>
    <col min="6416" max="6416" width="2.875" style="252" customWidth="1"/>
    <col min="6417" max="6417" width="2.125" style="252" customWidth="1"/>
    <col min="6418" max="6419" width="2.75" style="252" customWidth="1"/>
    <col min="6420" max="6421" width="2.125" style="252" customWidth="1"/>
    <col min="6422" max="6459" width="2.875" style="252" customWidth="1"/>
    <col min="6460" max="6656" width="9" style="252" customWidth="1"/>
    <col min="6657" max="6658" width="1.75" style="252" customWidth="1"/>
    <col min="6659" max="6659" width="2.875" style="252" customWidth="1"/>
    <col min="6660" max="6660" width="3" style="252" customWidth="1"/>
    <col min="6661" max="6662" width="3.625" style="252" customWidth="1"/>
    <col min="6663" max="6663" width="3.25" style="252" customWidth="1"/>
    <col min="6664" max="6664" width="1.375" style="252" customWidth="1"/>
    <col min="6665" max="6665" width="2.125" style="252" customWidth="1"/>
    <col min="6666" max="6667" width="3" style="252" customWidth="1"/>
    <col min="6668" max="6670" width="2.875" style="252" customWidth="1"/>
    <col min="6671" max="6671" width="3" style="252" customWidth="1"/>
    <col min="6672" max="6672" width="2.875" style="252" customWidth="1"/>
    <col min="6673" max="6673" width="2.125" style="252" customWidth="1"/>
    <col min="6674" max="6675" width="2.75" style="252" customWidth="1"/>
    <col min="6676" max="6677" width="2.125" style="252" customWidth="1"/>
    <col min="6678" max="6715" width="2.875" style="252" customWidth="1"/>
    <col min="6716" max="6912" width="9" style="252" customWidth="1"/>
    <col min="6913" max="6914" width="1.75" style="252" customWidth="1"/>
    <col min="6915" max="6915" width="2.875" style="252" customWidth="1"/>
    <col min="6916" max="6916" width="3" style="252" customWidth="1"/>
    <col min="6917" max="6918" width="3.625" style="252" customWidth="1"/>
    <col min="6919" max="6919" width="3.25" style="252" customWidth="1"/>
    <col min="6920" max="6920" width="1.375" style="252" customWidth="1"/>
    <col min="6921" max="6921" width="2.125" style="252" customWidth="1"/>
    <col min="6922" max="6923" width="3" style="252" customWidth="1"/>
    <col min="6924" max="6926" width="2.875" style="252" customWidth="1"/>
    <col min="6927" max="6927" width="3" style="252" customWidth="1"/>
    <col min="6928" max="6928" width="2.875" style="252" customWidth="1"/>
    <col min="6929" max="6929" width="2.125" style="252" customWidth="1"/>
    <col min="6930" max="6931" width="2.75" style="252" customWidth="1"/>
    <col min="6932" max="6933" width="2.125" style="252" customWidth="1"/>
    <col min="6934" max="6971" width="2.875" style="252" customWidth="1"/>
    <col min="6972" max="7168" width="9" style="252" customWidth="1"/>
    <col min="7169" max="7170" width="1.75" style="252" customWidth="1"/>
    <col min="7171" max="7171" width="2.875" style="252" customWidth="1"/>
    <col min="7172" max="7172" width="3" style="252" customWidth="1"/>
    <col min="7173" max="7174" width="3.625" style="252" customWidth="1"/>
    <col min="7175" max="7175" width="3.25" style="252" customWidth="1"/>
    <col min="7176" max="7176" width="1.375" style="252" customWidth="1"/>
    <col min="7177" max="7177" width="2.125" style="252" customWidth="1"/>
    <col min="7178" max="7179" width="3" style="252" customWidth="1"/>
    <col min="7180" max="7182" width="2.875" style="252" customWidth="1"/>
    <col min="7183" max="7183" width="3" style="252" customWidth="1"/>
    <col min="7184" max="7184" width="2.875" style="252" customWidth="1"/>
    <col min="7185" max="7185" width="2.125" style="252" customWidth="1"/>
    <col min="7186" max="7187" width="2.75" style="252" customWidth="1"/>
    <col min="7188" max="7189" width="2.125" style="252" customWidth="1"/>
    <col min="7190" max="7227" width="2.875" style="252" customWidth="1"/>
    <col min="7228" max="7424" width="9" style="252" customWidth="1"/>
    <col min="7425" max="7426" width="1.75" style="252" customWidth="1"/>
    <col min="7427" max="7427" width="2.875" style="252" customWidth="1"/>
    <col min="7428" max="7428" width="3" style="252" customWidth="1"/>
    <col min="7429" max="7430" width="3.625" style="252" customWidth="1"/>
    <col min="7431" max="7431" width="3.25" style="252" customWidth="1"/>
    <col min="7432" max="7432" width="1.375" style="252" customWidth="1"/>
    <col min="7433" max="7433" width="2.125" style="252" customWidth="1"/>
    <col min="7434" max="7435" width="3" style="252" customWidth="1"/>
    <col min="7436" max="7438" width="2.875" style="252" customWidth="1"/>
    <col min="7439" max="7439" width="3" style="252" customWidth="1"/>
    <col min="7440" max="7440" width="2.875" style="252" customWidth="1"/>
    <col min="7441" max="7441" width="2.125" style="252" customWidth="1"/>
    <col min="7442" max="7443" width="2.75" style="252" customWidth="1"/>
    <col min="7444" max="7445" width="2.125" style="252" customWidth="1"/>
    <col min="7446" max="7483" width="2.875" style="252" customWidth="1"/>
    <col min="7484" max="7680" width="9" style="252" customWidth="1"/>
    <col min="7681" max="7682" width="1.75" style="252" customWidth="1"/>
    <col min="7683" max="7683" width="2.875" style="252" customWidth="1"/>
    <col min="7684" max="7684" width="3" style="252" customWidth="1"/>
    <col min="7685" max="7686" width="3.625" style="252" customWidth="1"/>
    <col min="7687" max="7687" width="3.25" style="252" customWidth="1"/>
    <col min="7688" max="7688" width="1.375" style="252" customWidth="1"/>
    <col min="7689" max="7689" width="2.125" style="252" customWidth="1"/>
    <col min="7690" max="7691" width="3" style="252" customWidth="1"/>
    <col min="7692" max="7694" width="2.875" style="252" customWidth="1"/>
    <col min="7695" max="7695" width="3" style="252" customWidth="1"/>
    <col min="7696" max="7696" width="2.875" style="252" customWidth="1"/>
    <col min="7697" max="7697" width="2.125" style="252" customWidth="1"/>
    <col min="7698" max="7699" width="2.75" style="252" customWidth="1"/>
    <col min="7700" max="7701" width="2.125" style="252" customWidth="1"/>
    <col min="7702" max="7739" width="2.875" style="252" customWidth="1"/>
    <col min="7740" max="7936" width="9" style="252" customWidth="1"/>
    <col min="7937" max="7938" width="1.75" style="252" customWidth="1"/>
    <col min="7939" max="7939" width="2.875" style="252" customWidth="1"/>
    <col min="7940" max="7940" width="3" style="252" customWidth="1"/>
    <col min="7941" max="7942" width="3.625" style="252" customWidth="1"/>
    <col min="7943" max="7943" width="3.25" style="252" customWidth="1"/>
    <col min="7944" max="7944" width="1.375" style="252" customWidth="1"/>
    <col min="7945" max="7945" width="2.125" style="252" customWidth="1"/>
    <col min="7946" max="7947" width="3" style="252" customWidth="1"/>
    <col min="7948" max="7950" width="2.875" style="252" customWidth="1"/>
    <col min="7951" max="7951" width="3" style="252" customWidth="1"/>
    <col min="7952" max="7952" width="2.875" style="252" customWidth="1"/>
    <col min="7953" max="7953" width="2.125" style="252" customWidth="1"/>
    <col min="7954" max="7955" width="2.75" style="252" customWidth="1"/>
    <col min="7956" max="7957" width="2.125" style="252" customWidth="1"/>
    <col min="7958" max="7995" width="2.875" style="252" customWidth="1"/>
    <col min="7996" max="8192" width="9" style="252" customWidth="1"/>
    <col min="8193" max="8194" width="1.75" style="252" customWidth="1"/>
    <col min="8195" max="8195" width="2.875" style="252" customWidth="1"/>
    <col min="8196" max="8196" width="3" style="252" customWidth="1"/>
    <col min="8197" max="8198" width="3.625" style="252" customWidth="1"/>
    <col min="8199" max="8199" width="3.25" style="252" customWidth="1"/>
    <col min="8200" max="8200" width="1.375" style="252" customWidth="1"/>
    <col min="8201" max="8201" width="2.125" style="252" customWidth="1"/>
    <col min="8202" max="8203" width="3" style="252" customWidth="1"/>
    <col min="8204" max="8206" width="2.875" style="252" customWidth="1"/>
    <col min="8207" max="8207" width="3" style="252" customWidth="1"/>
    <col min="8208" max="8208" width="2.875" style="252" customWidth="1"/>
    <col min="8209" max="8209" width="2.125" style="252" customWidth="1"/>
    <col min="8210" max="8211" width="2.75" style="252" customWidth="1"/>
    <col min="8212" max="8213" width="2.125" style="252" customWidth="1"/>
    <col min="8214" max="8251" width="2.875" style="252" customWidth="1"/>
    <col min="8252" max="8448" width="9" style="252" customWidth="1"/>
    <col min="8449" max="8450" width="1.75" style="252" customWidth="1"/>
    <col min="8451" max="8451" width="2.875" style="252" customWidth="1"/>
    <col min="8452" max="8452" width="3" style="252" customWidth="1"/>
    <col min="8453" max="8454" width="3.625" style="252" customWidth="1"/>
    <col min="8455" max="8455" width="3.25" style="252" customWidth="1"/>
    <col min="8456" max="8456" width="1.375" style="252" customWidth="1"/>
    <col min="8457" max="8457" width="2.125" style="252" customWidth="1"/>
    <col min="8458" max="8459" width="3" style="252" customWidth="1"/>
    <col min="8460" max="8462" width="2.875" style="252" customWidth="1"/>
    <col min="8463" max="8463" width="3" style="252" customWidth="1"/>
    <col min="8464" max="8464" width="2.875" style="252" customWidth="1"/>
    <col min="8465" max="8465" width="2.125" style="252" customWidth="1"/>
    <col min="8466" max="8467" width="2.75" style="252" customWidth="1"/>
    <col min="8468" max="8469" width="2.125" style="252" customWidth="1"/>
    <col min="8470" max="8507" width="2.875" style="252" customWidth="1"/>
    <col min="8508" max="8704" width="9" style="252" customWidth="1"/>
    <col min="8705" max="8706" width="1.75" style="252" customWidth="1"/>
    <col min="8707" max="8707" width="2.875" style="252" customWidth="1"/>
    <col min="8708" max="8708" width="3" style="252" customWidth="1"/>
    <col min="8709" max="8710" width="3.625" style="252" customWidth="1"/>
    <col min="8711" max="8711" width="3.25" style="252" customWidth="1"/>
    <col min="8712" max="8712" width="1.375" style="252" customWidth="1"/>
    <col min="8713" max="8713" width="2.125" style="252" customWidth="1"/>
    <col min="8714" max="8715" width="3" style="252" customWidth="1"/>
    <col min="8716" max="8718" width="2.875" style="252" customWidth="1"/>
    <col min="8719" max="8719" width="3" style="252" customWidth="1"/>
    <col min="8720" max="8720" width="2.875" style="252" customWidth="1"/>
    <col min="8721" max="8721" width="2.125" style="252" customWidth="1"/>
    <col min="8722" max="8723" width="2.75" style="252" customWidth="1"/>
    <col min="8724" max="8725" width="2.125" style="252" customWidth="1"/>
    <col min="8726" max="8763" width="2.875" style="252" customWidth="1"/>
    <col min="8764" max="8960" width="9" style="252" customWidth="1"/>
    <col min="8961" max="8962" width="1.75" style="252" customWidth="1"/>
    <col min="8963" max="8963" width="2.875" style="252" customWidth="1"/>
    <col min="8964" max="8964" width="3" style="252" customWidth="1"/>
    <col min="8965" max="8966" width="3.625" style="252" customWidth="1"/>
    <col min="8967" max="8967" width="3.25" style="252" customWidth="1"/>
    <col min="8968" max="8968" width="1.375" style="252" customWidth="1"/>
    <col min="8969" max="8969" width="2.125" style="252" customWidth="1"/>
    <col min="8970" max="8971" width="3" style="252" customWidth="1"/>
    <col min="8972" max="8974" width="2.875" style="252" customWidth="1"/>
    <col min="8975" max="8975" width="3" style="252" customWidth="1"/>
    <col min="8976" max="8976" width="2.875" style="252" customWidth="1"/>
    <col min="8977" max="8977" width="2.125" style="252" customWidth="1"/>
    <col min="8978" max="8979" width="2.75" style="252" customWidth="1"/>
    <col min="8980" max="8981" width="2.125" style="252" customWidth="1"/>
    <col min="8982" max="9019" width="2.875" style="252" customWidth="1"/>
    <col min="9020" max="9216" width="9" style="252" customWidth="1"/>
    <col min="9217" max="9218" width="1.75" style="252" customWidth="1"/>
    <col min="9219" max="9219" width="2.875" style="252" customWidth="1"/>
    <col min="9220" max="9220" width="3" style="252" customWidth="1"/>
    <col min="9221" max="9222" width="3.625" style="252" customWidth="1"/>
    <col min="9223" max="9223" width="3.25" style="252" customWidth="1"/>
    <col min="9224" max="9224" width="1.375" style="252" customWidth="1"/>
    <col min="9225" max="9225" width="2.125" style="252" customWidth="1"/>
    <col min="9226" max="9227" width="3" style="252" customWidth="1"/>
    <col min="9228" max="9230" width="2.875" style="252" customWidth="1"/>
    <col min="9231" max="9231" width="3" style="252" customWidth="1"/>
    <col min="9232" max="9232" width="2.875" style="252" customWidth="1"/>
    <col min="9233" max="9233" width="2.125" style="252" customWidth="1"/>
    <col min="9234" max="9235" width="2.75" style="252" customWidth="1"/>
    <col min="9236" max="9237" width="2.125" style="252" customWidth="1"/>
    <col min="9238" max="9275" width="2.875" style="252" customWidth="1"/>
    <col min="9276" max="9472" width="9" style="252" customWidth="1"/>
    <col min="9473" max="9474" width="1.75" style="252" customWidth="1"/>
    <col min="9475" max="9475" width="2.875" style="252" customWidth="1"/>
    <col min="9476" max="9476" width="3" style="252" customWidth="1"/>
    <col min="9477" max="9478" width="3.625" style="252" customWidth="1"/>
    <col min="9479" max="9479" width="3.25" style="252" customWidth="1"/>
    <col min="9480" max="9480" width="1.375" style="252" customWidth="1"/>
    <col min="9481" max="9481" width="2.125" style="252" customWidth="1"/>
    <col min="9482" max="9483" width="3" style="252" customWidth="1"/>
    <col min="9484" max="9486" width="2.875" style="252" customWidth="1"/>
    <col min="9487" max="9487" width="3" style="252" customWidth="1"/>
    <col min="9488" max="9488" width="2.875" style="252" customWidth="1"/>
    <col min="9489" max="9489" width="2.125" style="252" customWidth="1"/>
    <col min="9490" max="9491" width="2.75" style="252" customWidth="1"/>
    <col min="9492" max="9493" width="2.125" style="252" customWidth="1"/>
    <col min="9494" max="9531" width="2.875" style="252" customWidth="1"/>
    <col min="9532" max="9728" width="9" style="252" customWidth="1"/>
    <col min="9729" max="9730" width="1.75" style="252" customWidth="1"/>
    <col min="9731" max="9731" width="2.875" style="252" customWidth="1"/>
    <col min="9732" max="9732" width="3" style="252" customWidth="1"/>
    <col min="9733" max="9734" width="3.625" style="252" customWidth="1"/>
    <col min="9735" max="9735" width="3.25" style="252" customWidth="1"/>
    <col min="9736" max="9736" width="1.375" style="252" customWidth="1"/>
    <col min="9737" max="9737" width="2.125" style="252" customWidth="1"/>
    <col min="9738" max="9739" width="3" style="252" customWidth="1"/>
    <col min="9740" max="9742" width="2.875" style="252" customWidth="1"/>
    <col min="9743" max="9743" width="3" style="252" customWidth="1"/>
    <col min="9744" max="9744" width="2.875" style="252" customWidth="1"/>
    <col min="9745" max="9745" width="2.125" style="252" customWidth="1"/>
    <col min="9746" max="9747" width="2.75" style="252" customWidth="1"/>
    <col min="9748" max="9749" width="2.125" style="252" customWidth="1"/>
    <col min="9750" max="9787" width="2.875" style="252" customWidth="1"/>
    <col min="9788" max="9984" width="9" style="252" customWidth="1"/>
    <col min="9985" max="9986" width="1.75" style="252" customWidth="1"/>
    <col min="9987" max="9987" width="2.875" style="252" customWidth="1"/>
    <col min="9988" max="9988" width="3" style="252" customWidth="1"/>
    <col min="9989" max="9990" width="3.625" style="252" customWidth="1"/>
    <col min="9991" max="9991" width="3.25" style="252" customWidth="1"/>
    <col min="9992" max="9992" width="1.375" style="252" customWidth="1"/>
    <col min="9993" max="9993" width="2.125" style="252" customWidth="1"/>
    <col min="9994" max="9995" width="3" style="252" customWidth="1"/>
    <col min="9996" max="9998" width="2.875" style="252" customWidth="1"/>
    <col min="9999" max="9999" width="3" style="252" customWidth="1"/>
    <col min="10000" max="10000" width="2.875" style="252" customWidth="1"/>
    <col min="10001" max="10001" width="2.125" style="252" customWidth="1"/>
    <col min="10002" max="10003" width="2.75" style="252" customWidth="1"/>
    <col min="10004" max="10005" width="2.125" style="252" customWidth="1"/>
    <col min="10006" max="10043" width="2.875" style="252" customWidth="1"/>
    <col min="10044" max="10240" width="9" style="252" customWidth="1"/>
    <col min="10241" max="10242" width="1.75" style="252" customWidth="1"/>
    <col min="10243" max="10243" width="2.875" style="252" customWidth="1"/>
    <col min="10244" max="10244" width="3" style="252" customWidth="1"/>
    <col min="10245" max="10246" width="3.625" style="252" customWidth="1"/>
    <col min="10247" max="10247" width="3.25" style="252" customWidth="1"/>
    <col min="10248" max="10248" width="1.375" style="252" customWidth="1"/>
    <col min="10249" max="10249" width="2.125" style="252" customWidth="1"/>
    <col min="10250" max="10251" width="3" style="252" customWidth="1"/>
    <col min="10252" max="10254" width="2.875" style="252" customWidth="1"/>
    <col min="10255" max="10255" width="3" style="252" customWidth="1"/>
    <col min="10256" max="10256" width="2.875" style="252" customWidth="1"/>
    <col min="10257" max="10257" width="2.125" style="252" customWidth="1"/>
    <col min="10258" max="10259" width="2.75" style="252" customWidth="1"/>
    <col min="10260" max="10261" width="2.125" style="252" customWidth="1"/>
    <col min="10262" max="10299" width="2.875" style="252" customWidth="1"/>
    <col min="10300" max="10496" width="9" style="252" customWidth="1"/>
    <col min="10497" max="10498" width="1.75" style="252" customWidth="1"/>
    <col min="10499" max="10499" width="2.875" style="252" customWidth="1"/>
    <col min="10500" max="10500" width="3" style="252" customWidth="1"/>
    <col min="10501" max="10502" width="3.625" style="252" customWidth="1"/>
    <col min="10503" max="10503" width="3.25" style="252" customWidth="1"/>
    <col min="10504" max="10504" width="1.375" style="252" customWidth="1"/>
    <col min="10505" max="10505" width="2.125" style="252" customWidth="1"/>
    <col min="10506" max="10507" width="3" style="252" customWidth="1"/>
    <col min="10508" max="10510" width="2.875" style="252" customWidth="1"/>
    <col min="10511" max="10511" width="3" style="252" customWidth="1"/>
    <col min="10512" max="10512" width="2.875" style="252" customWidth="1"/>
    <col min="10513" max="10513" width="2.125" style="252" customWidth="1"/>
    <col min="10514" max="10515" width="2.75" style="252" customWidth="1"/>
    <col min="10516" max="10517" width="2.125" style="252" customWidth="1"/>
    <col min="10518" max="10555" width="2.875" style="252" customWidth="1"/>
    <col min="10556" max="10752" width="9" style="252" customWidth="1"/>
    <col min="10753" max="10754" width="1.75" style="252" customWidth="1"/>
    <col min="10755" max="10755" width="2.875" style="252" customWidth="1"/>
    <col min="10756" max="10756" width="3" style="252" customWidth="1"/>
    <col min="10757" max="10758" width="3.625" style="252" customWidth="1"/>
    <col min="10759" max="10759" width="3.25" style="252" customWidth="1"/>
    <col min="10760" max="10760" width="1.375" style="252" customWidth="1"/>
    <col min="10761" max="10761" width="2.125" style="252" customWidth="1"/>
    <col min="10762" max="10763" width="3" style="252" customWidth="1"/>
    <col min="10764" max="10766" width="2.875" style="252" customWidth="1"/>
    <col min="10767" max="10767" width="3" style="252" customWidth="1"/>
    <col min="10768" max="10768" width="2.875" style="252" customWidth="1"/>
    <col min="10769" max="10769" width="2.125" style="252" customWidth="1"/>
    <col min="10770" max="10771" width="2.75" style="252" customWidth="1"/>
    <col min="10772" max="10773" width="2.125" style="252" customWidth="1"/>
    <col min="10774" max="10811" width="2.875" style="252" customWidth="1"/>
    <col min="10812" max="11008" width="9" style="252" customWidth="1"/>
    <col min="11009" max="11010" width="1.75" style="252" customWidth="1"/>
    <col min="11011" max="11011" width="2.875" style="252" customWidth="1"/>
    <col min="11012" max="11012" width="3" style="252" customWidth="1"/>
    <col min="11013" max="11014" width="3.625" style="252" customWidth="1"/>
    <col min="11015" max="11015" width="3.25" style="252" customWidth="1"/>
    <col min="11016" max="11016" width="1.375" style="252" customWidth="1"/>
    <col min="11017" max="11017" width="2.125" style="252" customWidth="1"/>
    <col min="11018" max="11019" width="3" style="252" customWidth="1"/>
    <col min="11020" max="11022" width="2.875" style="252" customWidth="1"/>
    <col min="11023" max="11023" width="3" style="252" customWidth="1"/>
    <col min="11024" max="11024" width="2.875" style="252" customWidth="1"/>
    <col min="11025" max="11025" width="2.125" style="252" customWidth="1"/>
    <col min="11026" max="11027" width="2.75" style="252" customWidth="1"/>
    <col min="11028" max="11029" width="2.125" style="252" customWidth="1"/>
    <col min="11030" max="11067" width="2.875" style="252" customWidth="1"/>
    <col min="11068" max="11264" width="9" style="252" customWidth="1"/>
    <col min="11265" max="11266" width="1.75" style="252" customWidth="1"/>
    <col min="11267" max="11267" width="2.875" style="252" customWidth="1"/>
    <col min="11268" max="11268" width="3" style="252" customWidth="1"/>
    <col min="11269" max="11270" width="3.625" style="252" customWidth="1"/>
    <col min="11271" max="11271" width="3.25" style="252" customWidth="1"/>
    <col min="11272" max="11272" width="1.375" style="252" customWidth="1"/>
    <col min="11273" max="11273" width="2.125" style="252" customWidth="1"/>
    <col min="11274" max="11275" width="3" style="252" customWidth="1"/>
    <col min="11276" max="11278" width="2.875" style="252" customWidth="1"/>
    <col min="11279" max="11279" width="3" style="252" customWidth="1"/>
    <col min="11280" max="11280" width="2.875" style="252" customWidth="1"/>
    <col min="11281" max="11281" width="2.125" style="252" customWidth="1"/>
    <col min="11282" max="11283" width="2.75" style="252" customWidth="1"/>
    <col min="11284" max="11285" width="2.125" style="252" customWidth="1"/>
    <col min="11286" max="11323" width="2.875" style="252" customWidth="1"/>
    <col min="11324" max="11520" width="9" style="252" customWidth="1"/>
    <col min="11521" max="11522" width="1.75" style="252" customWidth="1"/>
    <col min="11523" max="11523" width="2.875" style="252" customWidth="1"/>
    <col min="11524" max="11524" width="3" style="252" customWidth="1"/>
    <col min="11525" max="11526" width="3.625" style="252" customWidth="1"/>
    <col min="11527" max="11527" width="3.25" style="252" customWidth="1"/>
    <col min="11528" max="11528" width="1.375" style="252" customWidth="1"/>
    <col min="11529" max="11529" width="2.125" style="252" customWidth="1"/>
    <col min="11530" max="11531" width="3" style="252" customWidth="1"/>
    <col min="11532" max="11534" width="2.875" style="252" customWidth="1"/>
    <col min="11535" max="11535" width="3" style="252" customWidth="1"/>
    <col min="11536" max="11536" width="2.875" style="252" customWidth="1"/>
    <col min="11537" max="11537" width="2.125" style="252" customWidth="1"/>
    <col min="11538" max="11539" width="2.75" style="252" customWidth="1"/>
    <col min="11540" max="11541" width="2.125" style="252" customWidth="1"/>
    <col min="11542" max="11579" width="2.875" style="252" customWidth="1"/>
    <col min="11580" max="11776" width="9" style="252" customWidth="1"/>
    <col min="11777" max="11778" width="1.75" style="252" customWidth="1"/>
    <col min="11779" max="11779" width="2.875" style="252" customWidth="1"/>
    <col min="11780" max="11780" width="3" style="252" customWidth="1"/>
    <col min="11781" max="11782" width="3.625" style="252" customWidth="1"/>
    <col min="11783" max="11783" width="3.25" style="252" customWidth="1"/>
    <col min="11784" max="11784" width="1.375" style="252" customWidth="1"/>
    <col min="11785" max="11785" width="2.125" style="252" customWidth="1"/>
    <col min="11786" max="11787" width="3" style="252" customWidth="1"/>
    <col min="11788" max="11790" width="2.875" style="252" customWidth="1"/>
    <col min="11791" max="11791" width="3" style="252" customWidth="1"/>
    <col min="11792" max="11792" width="2.875" style="252" customWidth="1"/>
    <col min="11793" max="11793" width="2.125" style="252" customWidth="1"/>
    <col min="11794" max="11795" width="2.75" style="252" customWidth="1"/>
    <col min="11796" max="11797" width="2.125" style="252" customWidth="1"/>
    <col min="11798" max="11835" width="2.875" style="252" customWidth="1"/>
    <col min="11836" max="12032" width="9" style="252" customWidth="1"/>
    <col min="12033" max="12034" width="1.75" style="252" customWidth="1"/>
    <col min="12035" max="12035" width="2.875" style="252" customWidth="1"/>
    <col min="12036" max="12036" width="3" style="252" customWidth="1"/>
    <col min="12037" max="12038" width="3.625" style="252" customWidth="1"/>
    <col min="12039" max="12039" width="3.25" style="252" customWidth="1"/>
    <col min="12040" max="12040" width="1.375" style="252" customWidth="1"/>
    <col min="12041" max="12041" width="2.125" style="252" customWidth="1"/>
    <col min="12042" max="12043" width="3" style="252" customWidth="1"/>
    <col min="12044" max="12046" width="2.875" style="252" customWidth="1"/>
    <col min="12047" max="12047" width="3" style="252" customWidth="1"/>
    <col min="12048" max="12048" width="2.875" style="252" customWidth="1"/>
    <col min="12049" max="12049" width="2.125" style="252" customWidth="1"/>
    <col min="12050" max="12051" width="2.75" style="252" customWidth="1"/>
    <col min="12052" max="12053" width="2.125" style="252" customWidth="1"/>
    <col min="12054" max="12091" width="2.875" style="252" customWidth="1"/>
    <col min="12092" max="12288" width="9" style="252" customWidth="1"/>
    <col min="12289" max="12290" width="1.75" style="252" customWidth="1"/>
    <col min="12291" max="12291" width="2.875" style="252" customWidth="1"/>
    <col min="12292" max="12292" width="3" style="252" customWidth="1"/>
    <col min="12293" max="12294" width="3.625" style="252" customWidth="1"/>
    <col min="12295" max="12295" width="3.25" style="252" customWidth="1"/>
    <col min="12296" max="12296" width="1.375" style="252" customWidth="1"/>
    <col min="12297" max="12297" width="2.125" style="252" customWidth="1"/>
    <col min="12298" max="12299" width="3" style="252" customWidth="1"/>
    <col min="12300" max="12302" width="2.875" style="252" customWidth="1"/>
    <col min="12303" max="12303" width="3" style="252" customWidth="1"/>
    <col min="12304" max="12304" width="2.875" style="252" customWidth="1"/>
    <col min="12305" max="12305" width="2.125" style="252" customWidth="1"/>
    <col min="12306" max="12307" width="2.75" style="252" customWidth="1"/>
    <col min="12308" max="12309" width="2.125" style="252" customWidth="1"/>
    <col min="12310" max="12347" width="2.875" style="252" customWidth="1"/>
    <col min="12348" max="12544" width="9" style="252" customWidth="1"/>
    <col min="12545" max="12546" width="1.75" style="252" customWidth="1"/>
    <col min="12547" max="12547" width="2.875" style="252" customWidth="1"/>
    <col min="12548" max="12548" width="3" style="252" customWidth="1"/>
    <col min="12549" max="12550" width="3.625" style="252" customWidth="1"/>
    <col min="12551" max="12551" width="3.25" style="252" customWidth="1"/>
    <col min="12552" max="12552" width="1.375" style="252" customWidth="1"/>
    <col min="12553" max="12553" width="2.125" style="252" customWidth="1"/>
    <col min="12554" max="12555" width="3" style="252" customWidth="1"/>
    <col min="12556" max="12558" width="2.875" style="252" customWidth="1"/>
    <col min="12559" max="12559" width="3" style="252" customWidth="1"/>
    <col min="12560" max="12560" width="2.875" style="252" customWidth="1"/>
    <col min="12561" max="12561" width="2.125" style="252" customWidth="1"/>
    <col min="12562" max="12563" width="2.75" style="252" customWidth="1"/>
    <col min="12564" max="12565" width="2.125" style="252" customWidth="1"/>
    <col min="12566" max="12603" width="2.875" style="252" customWidth="1"/>
    <col min="12604" max="12800" width="9" style="252" customWidth="1"/>
    <col min="12801" max="12802" width="1.75" style="252" customWidth="1"/>
    <col min="12803" max="12803" width="2.875" style="252" customWidth="1"/>
    <col min="12804" max="12804" width="3" style="252" customWidth="1"/>
    <col min="12805" max="12806" width="3.625" style="252" customWidth="1"/>
    <col min="12807" max="12807" width="3.25" style="252" customWidth="1"/>
    <col min="12808" max="12808" width="1.375" style="252" customWidth="1"/>
    <col min="12809" max="12809" width="2.125" style="252" customWidth="1"/>
    <col min="12810" max="12811" width="3" style="252" customWidth="1"/>
    <col min="12812" max="12814" width="2.875" style="252" customWidth="1"/>
    <col min="12815" max="12815" width="3" style="252" customWidth="1"/>
    <col min="12816" max="12816" width="2.875" style="252" customWidth="1"/>
    <col min="12817" max="12817" width="2.125" style="252" customWidth="1"/>
    <col min="12818" max="12819" width="2.75" style="252" customWidth="1"/>
    <col min="12820" max="12821" width="2.125" style="252" customWidth="1"/>
    <col min="12822" max="12859" width="2.875" style="252" customWidth="1"/>
    <col min="12860" max="13056" width="9" style="252" customWidth="1"/>
    <col min="13057" max="13058" width="1.75" style="252" customWidth="1"/>
    <col min="13059" max="13059" width="2.875" style="252" customWidth="1"/>
    <col min="13060" max="13060" width="3" style="252" customWidth="1"/>
    <col min="13061" max="13062" width="3.625" style="252" customWidth="1"/>
    <col min="13063" max="13063" width="3.25" style="252" customWidth="1"/>
    <col min="13064" max="13064" width="1.375" style="252" customWidth="1"/>
    <col min="13065" max="13065" width="2.125" style="252" customWidth="1"/>
    <col min="13066" max="13067" width="3" style="252" customWidth="1"/>
    <col min="13068" max="13070" width="2.875" style="252" customWidth="1"/>
    <col min="13071" max="13071" width="3" style="252" customWidth="1"/>
    <col min="13072" max="13072" width="2.875" style="252" customWidth="1"/>
    <col min="13073" max="13073" width="2.125" style="252" customWidth="1"/>
    <col min="13074" max="13075" width="2.75" style="252" customWidth="1"/>
    <col min="13076" max="13077" width="2.125" style="252" customWidth="1"/>
    <col min="13078" max="13115" width="2.875" style="252" customWidth="1"/>
    <col min="13116" max="13312" width="9" style="252" customWidth="1"/>
    <col min="13313" max="13314" width="1.75" style="252" customWidth="1"/>
    <col min="13315" max="13315" width="2.875" style="252" customWidth="1"/>
    <col min="13316" max="13316" width="3" style="252" customWidth="1"/>
    <col min="13317" max="13318" width="3.625" style="252" customWidth="1"/>
    <col min="13319" max="13319" width="3.25" style="252" customWidth="1"/>
    <col min="13320" max="13320" width="1.375" style="252" customWidth="1"/>
    <col min="13321" max="13321" width="2.125" style="252" customWidth="1"/>
    <col min="13322" max="13323" width="3" style="252" customWidth="1"/>
    <col min="13324" max="13326" width="2.875" style="252" customWidth="1"/>
    <col min="13327" max="13327" width="3" style="252" customWidth="1"/>
    <col min="13328" max="13328" width="2.875" style="252" customWidth="1"/>
    <col min="13329" max="13329" width="2.125" style="252" customWidth="1"/>
    <col min="13330" max="13331" width="2.75" style="252" customWidth="1"/>
    <col min="13332" max="13333" width="2.125" style="252" customWidth="1"/>
    <col min="13334" max="13371" width="2.875" style="252" customWidth="1"/>
    <col min="13372" max="13568" width="9" style="252" customWidth="1"/>
    <col min="13569" max="13570" width="1.75" style="252" customWidth="1"/>
    <col min="13571" max="13571" width="2.875" style="252" customWidth="1"/>
    <col min="13572" max="13572" width="3" style="252" customWidth="1"/>
    <col min="13573" max="13574" width="3.625" style="252" customWidth="1"/>
    <col min="13575" max="13575" width="3.25" style="252" customWidth="1"/>
    <col min="13576" max="13576" width="1.375" style="252" customWidth="1"/>
    <col min="13577" max="13577" width="2.125" style="252" customWidth="1"/>
    <col min="13578" max="13579" width="3" style="252" customWidth="1"/>
    <col min="13580" max="13582" width="2.875" style="252" customWidth="1"/>
    <col min="13583" max="13583" width="3" style="252" customWidth="1"/>
    <col min="13584" max="13584" width="2.875" style="252" customWidth="1"/>
    <col min="13585" max="13585" width="2.125" style="252" customWidth="1"/>
    <col min="13586" max="13587" width="2.75" style="252" customWidth="1"/>
    <col min="13588" max="13589" width="2.125" style="252" customWidth="1"/>
    <col min="13590" max="13627" width="2.875" style="252" customWidth="1"/>
    <col min="13628" max="13824" width="9" style="252" customWidth="1"/>
    <col min="13825" max="13826" width="1.75" style="252" customWidth="1"/>
    <col min="13827" max="13827" width="2.875" style="252" customWidth="1"/>
    <col min="13828" max="13828" width="3" style="252" customWidth="1"/>
    <col min="13829" max="13830" width="3.625" style="252" customWidth="1"/>
    <col min="13831" max="13831" width="3.25" style="252" customWidth="1"/>
    <col min="13832" max="13832" width="1.375" style="252" customWidth="1"/>
    <col min="13833" max="13833" width="2.125" style="252" customWidth="1"/>
    <col min="13834" max="13835" width="3" style="252" customWidth="1"/>
    <col min="13836" max="13838" width="2.875" style="252" customWidth="1"/>
    <col min="13839" max="13839" width="3" style="252" customWidth="1"/>
    <col min="13840" max="13840" width="2.875" style="252" customWidth="1"/>
    <col min="13841" max="13841" width="2.125" style="252" customWidth="1"/>
    <col min="13842" max="13843" width="2.75" style="252" customWidth="1"/>
    <col min="13844" max="13845" width="2.125" style="252" customWidth="1"/>
    <col min="13846" max="13883" width="2.875" style="252" customWidth="1"/>
    <col min="13884" max="14080" width="9" style="252" customWidth="1"/>
    <col min="14081" max="14082" width="1.75" style="252" customWidth="1"/>
    <col min="14083" max="14083" width="2.875" style="252" customWidth="1"/>
    <col min="14084" max="14084" width="3" style="252" customWidth="1"/>
    <col min="14085" max="14086" width="3.625" style="252" customWidth="1"/>
    <col min="14087" max="14087" width="3.25" style="252" customWidth="1"/>
    <col min="14088" max="14088" width="1.375" style="252" customWidth="1"/>
    <col min="14089" max="14089" width="2.125" style="252" customWidth="1"/>
    <col min="14090" max="14091" width="3" style="252" customWidth="1"/>
    <col min="14092" max="14094" width="2.875" style="252" customWidth="1"/>
    <col min="14095" max="14095" width="3" style="252" customWidth="1"/>
    <col min="14096" max="14096" width="2.875" style="252" customWidth="1"/>
    <col min="14097" max="14097" width="2.125" style="252" customWidth="1"/>
    <col min="14098" max="14099" width="2.75" style="252" customWidth="1"/>
    <col min="14100" max="14101" width="2.125" style="252" customWidth="1"/>
    <col min="14102" max="14139" width="2.875" style="252" customWidth="1"/>
    <col min="14140" max="14336" width="9" style="252" customWidth="1"/>
    <col min="14337" max="14338" width="1.75" style="252" customWidth="1"/>
    <col min="14339" max="14339" width="2.875" style="252" customWidth="1"/>
    <col min="14340" max="14340" width="3" style="252" customWidth="1"/>
    <col min="14341" max="14342" width="3.625" style="252" customWidth="1"/>
    <col min="14343" max="14343" width="3.25" style="252" customWidth="1"/>
    <col min="14344" max="14344" width="1.375" style="252" customWidth="1"/>
    <col min="14345" max="14345" width="2.125" style="252" customWidth="1"/>
    <col min="14346" max="14347" width="3" style="252" customWidth="1"/>
    <col min="14348" max="14350" width="2.875" style="252" customWidth="1"/>
    <col min="14351" max="14351" width="3" style="252" customWidth="1"/>
    <col min="14352" max="14352" width="2.875" style="252" customWidth="1"/>
    <col min="14353" max="14353" width="2.125" style="252" customWidth="1"/>
    <col min="14354" max="14355" width="2.75" style="252" customWidth="1"/>
    <col min="14356" max="14357" width="2.125" style="252" customWidth="1"/>
    <col min="14358" max="14395" width="2.875" style="252" customWidth="1"/>
    <col min="14396" max="14592" width="9" style="252" customWidth="1"/>
    <col min="14593" max="14594" width="1.75" style="252" customWidth="1"/>
    <col min="14595" max="14595" width="2.875" style="252" customWidth="1"/>
    <col min="14596" max="14596" width="3" style="252" customWidth="1"/>
    <col min="14597" max="14598" width="3.625" style="252" customWidth="1"/>
    <col min="14599" max="14599" width="3.25" style="252" customWidth="1"/>
    <col min="14600" max="14600" width="1.375" style="252" customWidth="1"/>
    <col min="14601" max="14601" width="2.125" style="252" customWidth="1"/>
    <col min="14602" max="14603" width="3" style="252" customWidth="1"/>
    <col min="14604" max="14606" width="2.875" style="252" customWidth="1"/>
    <col min="14607" max="14607" width="3" style="252" customWidth="1"/>
    <col min="14608" max="14608" width="2.875" style="252" customWidth="1"/>
    <col min="14609" max="14609" width="2.125" style="252" customWidth="1"/>
    <col min="14610" max="14611" width="2.75" style="252" customWidth="1"/>
    <col min="14612" max="14613" width="2.125" style="252" customWidth="1"/>
    <col min="14614" max="14651" width="2.875" style="252" customWidth="1"/>
    <col min="14652" max="14848" width="9" style="252" customWidth="1"/>
    <col min="14849" max="14850" width="1.75" style="252" customWidth="1"/>
    <col min="14851" max="14851" width="2.875" style="252" customWidth="1"/>
    <col min="14852" max="14852" width="3" style="252" customWidth="1"/>
    <col min="14853" max="14854" width="3.625" style="252" customWidth="1"/>
    <col min="14855" max="14855" width="3.25" style="252" customWidth="1"/>
    <col min="14856" max="14856" width="1.375" style="252" customWidth="1"/>
    <col min="14857" max="14857" width="2.125" style="252" customWidth="1"/>
    <col min="14858" max="14859" width="3" style="252" customWidth="1"/>
    <col min="14860" max="14862" width="2.875" style="252" customWidth="1"/>
    <col min="14863" max="14863" width="3" style="252" customWidth="1"/>
    <col min="14864" max="14864" width="2.875" style="252" customWidth="1"/>
    <col min="14865" max="14865" width="2.125" style="252" customWidth="1"/>
    <col min="14866" max="14867" width="2.75" style="252" customWidth="1"/>
    <col min="14868" max="14869" width="2.125" style="252" customWidth="1"/>
    <col min="14870" max="14907" width="2.875" style="252" customWidth="1"/>
    <col min="14908" max="15104" width="9" style="252" customWidth="1"/>
    <col min="15105" max="15106" width="1.75" style="252" customWidth="1"/>
    <col min="15107" max="15107" width="2.875" style="252" customWidth="1"/>
    <col min="15108" max="15108" width="3" style="252" customWidth="1"/>
    <col min="15109" max="15110" width="3.625" style="252" customWidth="1"/>
    <col min="15111" max="15111" width="3.25" style="252" customWidth="1"/>
    <col min="15112" max="15112" width="1.375" style="252" customWidth="1"/>
    <col min="15113" max="15113" width="2.125" style="252" customWidth="1"/>
    <col min="15114" max="15115" width="3" style="252" customWidth="1"/>
    <col min="15116" max="15118" width="2.875" style="252" customWidth="1"/>
    <col min="15119" max="15119" width="3" style="252" customWidth="1"/>
    <col min="15120" max="15120" width="2.875" style="252" customWidth="1"/>
    <col min="15121" max="15121" width="2.125" style="252" customWidth="1"/>
    <col min="15122" max="15123" width="2.75" style="252" customWidth="1"/>
    <col min="15124" max="15125" width="2.125" style="252" customWidth="1"/>
    <col min="15126" max="15163" width="2.875" style="252" customWidth="1"/>
    <col min="15164" max="15360" width="9" style="252" customWidth="1"/>
    <col min="15361" max="15362" width="1.75" style="252" customWidth="1"/>
    <col min="15363" max="15363" width="2.875" style="252" customWidth="1"/>
    <col min="15364" max="15364" width="3" style="252" customWidth="1"/>
    <col min="15365" max="15366" width="3.625" style="252" customWidth="1"/>
    <col min="15367" max="15367" width="3.25" style="252" customWidth="1"/>
    <col min="15368" max="15368" width="1.375" style="252" customWidth="1"/>
    <col min="15369" max="15369" width="2.125" style="252" customWidth="1"/>
    <col min="15370" max="15371" width="3" style="252" customWidth="1"/>
    <col min="15372" max="15374" width="2.875" style="252" customWidth="1"/>
    <col min="15375" max="15375" width="3" style="252" customWidth="1"/>
    <col min="15376" max="15376" width="2.875" style="252" customWidth="1"/>
    <col min="15377" max="15377" width="2.125" style="252" customWidth="1"/>
    <col min="15378" max="15379" width="2.75" style="252" customWidth="1"/>
    <col min="15380" max="15381" width="2.125" style="252" customWidth="1"/>
    <col min="15382" max="15419" width="2.875" style="252" customWidth="1"/>
    <col min="15420" max="15616" width="9" style="252" customWidth="1"/>
    <col min="15617" max="15618" width="1.75" style="252" customWidth="1"/>
    <col min="15619" max="15619" width="2.875" style="252" customWidth="1"/>
    <col min="15620" max="15620" width="3" style="252" customWidth="1"/>
    <col min="15621" max="15622" width="3.625" style="252" customWidth="1"/>
    <col min="15623" max="15623" width="3.25" style="252" customWidth="1"/>
    <col min="15624" max="15624" width="1.375" style="252" customWidth="1"/>
    <col min="15625" max="15625" width="2.125" style="252" customWidth="1"/>
    <col min="15626" max="15627" width="3" style="252" customWidth="1"/>
    <col min="15628" max="15630" width="2.875" style="252" customWidth="1"/>
    <col min="15631" max="15631" width="3" style="252" customWidth="1"/>
    <col min="15632" max="15632" width="2.875" style="252" customWidth="1"/>
    <col min="15633" max="15633" width="2.125" style="252" customWidth="1"/>
    <col min="15634" max="15635" width="2.75" style="252" customWidth="1"/>
    <col min="15636" max="15637" width="2.125" style="252" customWidth="1"/>
    <col min="15638" max="15675" width="2.875" style="252" customWidth="1"/>
    <col min="15676" max="15872" width="9" style="252" customWidth="1"/>
    <col min="15873" max="15874" width="1.75" style="252" customWidth="1"/>
    <col min="15875" max="15875" width="2.875" style="252" customWidth="1"/>
    <col min="15876" max="15876" width="3" style="252" customWidth="1"/>
    <col min="15877" max="15878" width="3.625" style="252" customWidth="1"/>
    <col min="15879" max="15879" width="3.25" style="252" customWidth="1"/>
    <col min="15880" max="15880" width="1.375" style="252" customWidth="1"/>
    <col min="15881" max="15881" width="2.125" style="252" customWidth="1"/>
    <col min="15882" max="15883" width="3" style="252" customWidth="1"/>
    <col min="15884" max="15886" width="2.875" style="252" customWidth="1"/>
    <col min="15887" max="15887" width="3" style="252" customWidth="1"/>
    <col min="15888" max="15888" width="2.875" style="252" customWidth="1"/>
    <col min="15889" max="15889" width="2.125" style="252" customWidth="1"/>
    <col min="15890" max="15891" width="2.75" style="252" customWidth="1"/>
    <col min="15892" max="15893" width="2.125" style="252" customWidth="1"/>
    <col min="15894" max="15931" width="2.875" style="252" customWidth="1"/>
    <col min="15932" max="16128" width="9" style="252" customWidth="1"/>
    <col min="16129" max="16130" width="1.75" style="252" customWidth="1"/>
    <col min="16131" max="16131" width="2.875" style="252" customWidth="1"/>
    <col min="16132" max="16132" width="3" style="252" customWidth="1"/>
    <col min="16133" max="16134" width="3.625" style="252" customWidth="1"/>
    <col min="16135" max="16135" width="3.25" style="252" customWidth="1"/>
    <col min="16136" max="16136" width="1.375" style="252" customWidth="1"/>
    <col min="16137" max="16137" width="2.125" style="252" customWidth="1"/>
    <col min="16138" max="16139" width="3" style="252" customWidth="1"/>
    <col min="16140" max="16142" width="2.875" style="252" customWidth="1"/>
    <col min="16143" max="16143" width="3" style="252" customWidth="1"/>
    <col min="16144" max="16144" width="2.875" style="252" customWidth="1"/>
    <col min="16145" max="16145" width="2.125" style="252" customWidth="1"/>
    <col min="16146" max="16147" width="2.75" style="252" customWidth="1"/>
    <col min="16148" max="16149" width="2.125" style="252" customWidth="1"/>
    <col min="16150" max="16187" width="2.875" style="252" customWidth="1"/>
    <col min="16188" max="16384" width="9" style="252" customWidth="1"/>
  </cols>
  <sheetData>
    <row r="1" spans="2:30" ht="15" customHeight="1" x14ac:dyDescent="0.15">
      <c r="C1" s="872" t="s">
        <v>662</v>
      </c>
      <c r="D1" s="872"/>
      <c r="E1" s="872"/>
      <c r="F1" s="872"/>
      <c r="G1" s="872"/>
      <c r="H1" s="872"/>
      <c r="I1" s="872"/>
      <c r="J1" s="872"/>
      <c r="K1" s="872"/>
      <c r="L1" s="872"/>
      <c r="M1" s="872"/>
      <c r="N1" s="872"/>
      <c r="O1" s="872"/>
      <c r="P1" s="872"/>
      <c r="Q1" s="872"/>
      <c r="R1" s="872"/>
      <c r="S1" s="872"/>
      <c r="T1" s="872"/>
      <c r="U1" s="872"/>
      <c r="V1" s="872"/>
      <c r="W1" s="872"/>
      <c r="X1" s="872"/>
      <c r="Y1" s="872"/>
      <c r="Z1" s="872"/>
      <c r="AA1" s="872"/>
      <c r="AB1" s="872"/>
      <c r="AC1" s="872"/>
      <c r="AD1" s="872"/>
    </row>
    <row r="2" spans="2:30" ht="12" customHeight="1" x14ac:dyDescent="0.15">
      <c r="B2" s="258"/>
      <c r="C2" s="254" t="s">
        <v>663</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row>
    <row r="3" spans="2:30" ht="12" customHeight="1" x14ac:dyDescent="0.15">
      <c r="B3" s="268"/>
      <c r="C3" s="269" t="s">
        <v>664</v>
      </c>
      <c r="D3" s="268"/>
      <c r="E3" s="268"/>
      <c r="F3" s="268"/>
      <c r="G3" s="873" t="str">
        <f>cst_wskakunin_BUILD__address</f>
        <v>香川県丸亀市飯山町下法軍寺字島田737番3</v>
      </c>
      <c r="H3" s="873"/>
      <c r="I3" s="873"/>
      <c r="J3" s="873"/>
      <c r="K3" s="873"/>
      <c r="L3" s="873"/>
      <c r="M3" s="873"/>
      <c r="N3" s="873"/>
      <c r="O3" s="873"/>
      <c r="P3" s="873"/>
      <c r="Q3" s="873"/>
      <c r="R3" s="873"/>
      <c r="S3" s="873"/>
      <c r="T3" s="873"/>
      <c r="U3" s="873"/>
      <c r="V3" s="873"/>
      <c r="W3" s="873"/>
      <c r="X3" s="873"/>
      <c r="Y3" s="873"/>
      <c r="Z3" s="873"/>
      <c r="AA3" s="873"/>
      <c r="AB3" s="873"/>
      <c r="AC3" s="873"/>
      <c r="AD3" s="873"/>
    </row>
    <row r="4" spans="2:30" ht="12" customHeight="1" x14ac:dyDescent="0.15">
      <c r="B4" s="268"/>
      <c r="C4" s="269" t="s">
        <v>665</v>
      </c>
      <c r="D4" s="268"/>
      <c r="E4" s="268"/>
      <c r="F4" s="268"/>
      <c r="G4" s="873" t="str">
        <f>cst_wskakunin_BUILD_JYUKYO__address</f>
        <v/>
      </c>
      <c r="H4" s="873"/>
      <c r="I4" s="873"/>
      <c r="J4" s="873"/>
      <c r="K4" s="873"/>
      <c r="L4" s="873"/>
      <c r="M4" s="873"/>
      <c r="N4" s="873"/>
      <c r="O4" s="873"/>
      <c r="P4" s="873"/>
      <c r="Q4" s="873"/>
      <c r="R4" s="873"/>
      <c r="S4" s="873"/>
      <c r="T4" s="873"/>
      <c r="U4" s="873"/>
      <c r="V4" s="873"/>
      <c r="W4" s="873"/>
      <c r="X4" s="873"/>
      <c r="Y4" s="873"/>
      <c r="Z4" s="873"/>
      <c r="AA4" s="873"/>
      <c r="AB4" s="873"/>
      <c r="AC4" s="873"/>
      <c r="AD4" s="873"/>
    </row>
    <row r="5" spans="2:30" ht="12" customHeight="1" x14ac:dyDescent="0.15">
      <c r="C5" s="12" t="s">
        <v>666</v>
      </c>
    </row>
    <row r="6" spans="2:30" ht="12" customHeight="1" x14ac:dyDescent="0.15">
      <c r="F6" s="240" t="str">
        <f>cst_wskakunin_KUIKI_TOSI</f>
        <v>■</v>
      </c>
      <c r="G6" s="252" t="s">
        <v>422</v>
      </c>
      <c r="L6" s="270" t="s">
        <v>2</v>
      </c>
      <c r="M6" s="240" t="str">
        <f>cst_wskakunin_KUIKI_SIGAIKA</f>
        <v>□</v>
      </c>
      <c r="N6" s="252" t="s">
        <v>426</v>
      </c>
      <c r="Q6" s="240" t="str">
        <f>cst_wskakunin_KUIKI_TYOSEI</f>
        <v>□</v>
      </c>
      <c r="R6" s="252" t="s">
        <v>427</v>
      </c>
      <c r="W6" s="240" t="str">
        <f>cst_wskakunin_KUIKI_HISETTEI</f>
        <v>■</v>
      </c>
      <c r="X6" s="252" t="s">
        <v>428</v>
      </c>
      <c r="AB6" s="252" t="s">
        <v>3</v>
      </c>
    </row>
    <row r="7" spans="2:30" ht="12" customHeight="1" x14ac:dyDescent="0.15">
      <c r="F7" s="240" t="str">
        <f>cst_wskakunin_KUIKI_JYUN_TOSHI</f>
        <v>□</v>
      </c>
      <c r="G7" s="252" t="s">
        <v>2394</v>
      </c>
      <c r="M7" s="240" t="str">
        <f>cst_wskakunin_KUIKI_KUIKIGAI</f>
        <v>□</v>
      </c>
      <c r="N7" s="252" t="s">
        <v>2395</v>
      </c>
    </row>
    <row r="8" spans="2:30" ht="12" customHeight="1" x14ac:dyDescent="0.15">
      <c r="B8" s="268"/>
      <c r="C8" s="269" t="s">
        <v>667</v>
      </c>
      <c r="D8" s="268"/>
      <c r="E8" s="268"/>
      <c r="F8" s="268"/>
      <c r="G8" s="186" t="str">
        <f>cst_wskakunin_BOUKA_BOUKA</f>
        <v>□</v>
      </c>
      <c r="H8" s="268" t="s">
        <v>429</v>
      </c>
      <c r="I8" s="268"/>
      <c r="J8" s="268"/>
      <c r="K8" s="268"/>
      <c r="L8" s="186" t="str">
        <f>cst_wskakunin_BOUKA_JYUN_BOUKA</f>
        <v>□</v>
      </c>
      <c r="M8" s="268" t="s">
        <v>430</v>
      </c>
      <c r="N8" s="268"/>
      <c r="O8" s="268"/>
      <c r="P8" s="268"/>
      <c r="Q8" s="186" t="str">
        <f>cst_wskakunin_BOUKA_NASI</f>
        <v>■</v>
      </c>
      <c r="R8" s="268" t="s">
        <v>190</v>
      </c>
      <c r="S8" s="268"/>
      <c r="T8" s="268"/>
      <c r="U8" s="268"/>
      <c r="V8" s="268"/>
      <c r="W8" s="268"/>
      <c r="X8" s="268"/>
      <c r="Y8" s="268"/>
      <c r="Z8" s="268"/>
      <c r="AA8" s="268"/>
      <c r="AB8" s="268"/>
      <c r="AC8" s="268"/>
      <c r="AD8" s="268"/>
    </row>
    <row r="9" spans="2:30" ht="12" customHeight="1" x14ac:dyDescent="0.15">
      <c r="C9" s="271" t="s">
        <v>668</v>
      </c>
      <c r="M9" s="257"/>
      <c r="N9" s="257"/>
      <c r="O9" s="257"/>
      <c r="P9" s="257"/>
      <c r="Q9" s="257"/>
      <c r="R9" s="257"/>
      <c r="S9" s="257"/>
      <c r="T9" s="257"/>
      <c r="U9" s="257"/>
      <c r="V9" s="257"/>
      <c r="W9" s="257"/>
      <c r="X9" s="257"/>
      <c r="Y9" s="257"/>
      <c r="Z9" s="257"/>
      <c r="AA9" s="257"/>
      <c r="AB9" s="257"/>
      <c r="AC9" s="257"/>
      <c r="AD9" s="257"/>
    </row>
    <row r="10" spans="2:30" ht="12" customHeight="1" x14ac:dyDescent="0.15">
      <c r="C10" s="271"/>
      <c r="G10" s="874" t="str">
        <f>cst_wskakunin_wskakunin_SONOTA_KUIKI</f>
        <v/>
      </c>
      <c r="H10" s="874"/>
      <c r="I10" s="874"/>
      <c r="J10" s="874"/>
      <c r="K10" s="874"/>
      <c r="L10" s="874"/>
      <c r="M10" s="874"/>
      <c r="N10" s="874"/>
      <c r="O10" s="874"/>
      <c r="P10" s="874"/>
      <c r="Q10" s="874"/>
      <c r="R10" s="874"/>
      <c r="S10" s="874"/>
      <c r="T10" s="874"/>
      <c r="U10" s="874"/>
      <c r="V10" s="874"/>
      <c r="W10" s="874"/>
      <c r="X10" s="874"/>
      <c r="Y10" s="874"/>
      <c r="Z10" s="874"/>
      <c r="AA10" s="874"/>
      <c r="AB10" s="874"/>
      <c r="AC10" s="874"/>
      <c r="AD10" s="874"/>
    </row>
    <row r="11" spans="2:30" ht="12" customHeight="1" x14ac:dyDescent="0.15">
      <c r="B11" s="258"/>
      <c r="C11" s="258"/>
      <c r="D11" s="258"/>
      <c r="E11" s="258"/>
      <c r="F11" s="258"/>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row>
    <row r="12" spans="2:30" ht="12" customHeight="1" x14ac:dyDescent="0.15">
      <c r="C12" s="12" t="s">
        <v>669</v>
      </c>
    </row>
    <row r="13" spans="2:30" ht="12" customHeight="1" x14ac:dyDescent="0.15">
      <c r="D13" s="252" t="s">
        <v>670</v>
      </c>
      <c r="M13" s="876">
        <f>cst_wskakunin_DOURO_FUKUIN</f>
        <v>4.0270000000000001</v>
      </c>
      <c r="N13" s="876"/>
      <c r="O13" s="876"/>
      <c r="P13" s="270" t="s">
        <v>671</v>
      </c>
    </row>
    <row r="14" spans="2:30" ht="12" customHeight="1" x14ac:dyDescent="0.15">
      <c r="B14" s="258"/>
      <c r="C14" s="258"/>
      <c r="D14" s="258" t="s">
        <v>672</v>
      </c>
      <c r="E14" s="258"/>
      <c r="F14" s="258"/>
      <c r="G14" s="258"/>
      <c r="H14" s="258"/>
      <c r="I14" s="258"/>
      <c r="J14" s="258"/>
      <c r="K14" s="258"/>
      <c r="L14" s="258"/>
      <c r="M14" s="877">
        <f>cst_wskakunin_DOURO_NAGASA</f>
        <v>12.952999999999999</v>
      </c>
      <c r="N14" s="877"/>
      <c r="O14" s="877"/>
      <c r="P14" s="272" t="s">
        <v>671</v>
      </c>
      <c r="Q14" s="258"/>
      <c r="R14" s="258"/>
      <c r="S14" s="258"/>
      <c r="T14" s="258"/>
      <c r="U14" s="258"/>
      <c r="V14" s="258"/>
      <c r="W14" s="258"/>
      <c r="X14" s="258"/>
      <c r="Y14" s="258"/>
      <c r="Z14" s="258"/>
      <c r="AA14" s="258"/>
      <c r="AB14" s="258"/>
      <c r="AC14" s="258"/>
      <c r="AD14" s="258"/>
    </row>
    <row r="15" spans="2:30" s="256" customFormat="1" ht="12" customHeight="1" x14ac:dyDescent="0.15">
      <c r="C15" s="12" t="s">
        <v>673</v>
      </c>
    </row>
    <row r="16" spans="2:30" s="256" customFormat="1" ht="12" customHeight="1" x14ac:dyDescent="0.15">
      <c r="D16" s="256" t="s">
        <v>674</v>
      </c>
      <c r="G16" s="273" t="s">
        <v>29</v>
      </c>
      <c r="H16" s="256" t="s">
        <v>2</v>
      </c>
      <c r="I16" s="878">
        <f>cst_wskakunin_SHIKITI_MENSEKI_1A</f>
        <v>367</v>
      </c>
      <c r="J16" s="878"/>
      <c r="K16" s="878"/>
      <c r="L16" s="270" t="s">
        <v>79</v>
      </c>
      <c r="M16" s="256" t="s">
        <v>675</v>
      </c>
      <c r="N16" s="878" t="str">
        <f>cst_wskakunin_SHIKITI_MENSEKI_1B</f>
        <v/>
      </c>
      <c r="O16" s="878"/>
      <c r="P16" s="878"/>
      <c r="Q16" s="270" t="s">
        <v>79</v>
      </c>
      <c r="R16" s="256" t="s">
        <v>675</v>
      </c>
      <c r="S16" s="878" t="str">
        <f>cst_wskakunin_SHIKITI_MENSEKI_1C</f>
        <v/>
      </c>
      <c r="T16" s="878"/>
      <c r="U16" s="878"/>
      <c r="V16" s="270" t="s">
        <v>79</v>
      </c>
      <c r="W16" s="256" t="s">
        <v>675</v>
      </c>
      <c r="X16" s="878" t="str">
        <f>cst_wskakunin_SHIKITI_MENSEKI_1D</f>
        <v/>
      </c>
      <c r="Y16" s="878"/>
      <c r="Z16" s="878"/>
      <c r="AA16" s="270" t="s">
        <v>79</v>
      </c>
      <c r="AB16" s="256" t="s">
        <v>3</v>
      </c>
    </row>
    <row r="17" spans="2:30" s="256" customFormat="1" ht="12" customHeight="1" x14ac:dyDescent="0.15">
      <c r="G17" s="273" t="s">
        <v>31</v>
      </c>
      <c r="H17" s="256" t="s">
        <v>2</v>
      </c>
      <c r="I17" s="878" t="str">
        <f>cst_wskakunin_SHIKITI_MENSEKI_2A</f>
        <v/>
      </c>
      <c r="J17" s="878"/>
      <c r="K17" s="878"/>
      <c r="L17" s="270" t="s">
        <v>79</v>
      </c>
      <c r="M17" s="256" t="s">
        <v>675</v>
      </c>
      <c r="N17" s="878" t="str">
        <f>cst_wskakunin_SHIKITI_MENSEKI_2B</f>
        <v/>
      </c>
      <c r="O17" s="878"/>
      <c r="P17" s="878"/>
      <c r="Q17" s="270" t="s">
        <v>79</v>
      </c>
      <c r="R17" s="256" t="s">
        <v>675</v>
      </c>
      <c r="S17" s="878" t="str">
        <f>cst_wskakunin_SHIKITI_MENSEKI_2C</f>
        <v/>
      </c>
      <c r="T17" s="878"/>
      <c r="U17" s="878"/>
      <c r="V17" s="270" t="s">
        <v>79</v>
      </c>
      <c r="W17" s="256" t="s">
        <v>675</v>
      </c>
      <c r="X17" s="878" t="str">
        <f>cst_wskakunin_SHIKITI_MENSEKI_2D</f>
        <v/>
      </c>
      <c r="Y17" s="878"/>
      <c r="Z17" s="878"/>
      <c r="AA17" s="270" t="s">
        <v>79</v>
      </c>
      <c r="AB17" s="256" t="s">
        <v>3</v>
      </c>
    </row>
    <row r="18" spans="2:30" s="256" customFormat="1" ht="12" customHeight="1" x14ac:dyDescent="0.15">
      <c r="D18" s="256" t="s">
        <v>676</v>
      </c>
      <c r="H18" s="256" t="s">
        <v>2</v>
      </c>
      <c r="I18" s="870" t="str">
        <f>cst_wskakunin_YOUTO_TIIKI_A</f>
        <v>第一種中高層住居専用地域</v>
      </c>
      <c r="J18" s="870"/>
      <c r="K18" s="870"/>
      <c r="L18" s="870"/>
      <c r="M18" s="256" t="s">
        <v>675</v>
      </c>
      <c r="N18" s="870" t="str">
        <f>cst_wskakunin_YOUTO_TIIKI_B</f>
        <v/>
      </c>
      <c r="O18" s="870"/>
      <c r="P18" s="870"/>
      <c r="Q18" s="870"/>
      <c r="R18" s="256" t="s">
        <v>675</v>
      </c>
      <c r="S18" s="870" t="str">
        <f>cst_wskakunin_YOUTO_TIIKI_C</f>
        <v/>
      </c>
      <c r="T18" s="870"/>
      <c r="U18" s="870"/>
      <c r="V18" s="870"/>
      <c r="W18" s="256" t="s">
        <v>675</v>
      </c>
      <c r="X18" s="870" t="str">
        <f>cst_wskakunin_YOUTO_TIIKI_D</f>
        <v/>
      </c>
      <c r="Y18" s="870"/>
      <c r="Z18" s="870"/>
      <c r="AA18" s="870"/>
      <c r="AB18" s="256" t="s">
        <v>3</v>
      </c>
    </row>
    <row r="19" spans="2:30" s="256" customFormat="1" ht="12" customHeight="1" x14ac:dyDescent="0.15">
      <c r="D19" s="256" t="s">
        <v>677</v>
      </c>
    </row>
    <row r="20" spans="2:30" s="256" customFormat="1" ht="12" customHeight="1" x14ac:dyDescent="0.15">
      <c r="H20" s="256" t="s">
        <v>2</v>
      </c>
      <c r="I20" s="878">
        <f>cst_wskakunin_YOUSEKI_RITU_A</f>
        <v>200</v>
      </c>
      <c r="J20" s="878"/>
      <c r="K20" s="878"/>
      <c r="L20" s="260" t="s">
        <v>486</v>
      </c>
      <c r="M20" s="256" t="s">
        <v>675</v>
      </c>
      <c r="N20" s="878" t="str">
        <f>cst_wskakunin_YOUSEKI_RITU_B</f>
        <v/>
      </c>
      <c r="O20" s="878"/>
      <c r="P20" s="878"/>
      <c r="Q20" s="260" t="s">
        <v>486</v>
      </c>
      <c r="R20" s="256" t="s">
        <v>675</v>
      </c>
      <c r="S20" s="878" t="str">
        <f>cst_wskakunin_YOUSEKI_RITU_C</f>
        <v/>
      </c>
      <c r="T20" s="878"/>
      <c r="U20" s="878"/>
      <c r="V20" s="260" t="s">
        <v>486</v>
      </c>
      <c r="W20" s="256" t="s">
        <v>675</v>
      </c>
      <c r="X20" s="878" t="str">
        <f>cst_wskakunin_YOUSEKI_RITU_D</f>
        <v/>
      </c>
      <c r="Y20" s="878"/>
      <c r="Z20" s="878"/>
      <c r="AA20" s="260" t="s">
        <v>486</v>
      </c>
      <c r="AB20" s="256" t="s">
        <v>3</v>
      </c>
    </row>
    <row r="21" spans="2:30" s="256" customFormat="1" ht="12" customHeight="1" x14ac:dyDescent="0.15">
      <c r="D21" s="256" t="s">
        <v>678</v>
      </c>
    </row>
    <row r="22" spans="2:30" s="256" customFormat="1" ht="12" customHeight="1" x14ac:dyDescent="0.15">
      <c r="H22" s="256" t="s">
        <v>2</v>
      </c>
      <c r="I22" s="878">
        <f>cst_wskakunin_KENPEI_RITU_A</f>
        <v>60</v>
      </c>
      <c r="J22" s="878"/>
      <c r="K22" s="878"/>
      <c r="L22" s="260" t="s">
        <v>486</v>
      </c>
      <c r="M22" s="256" t="s">
        <v>675</v>
      </c>
      <c r="N22" s="878" t="str">
        <f>cst_wskakunin_KENPEI_RITU_B</f>
        <v/>
      </c>
      <c r="O22" s="878"/>
      <c r="P22" s="878"/>
      <c r="Q22" s="260" t="s">
        <v>486</v>
      </c>
      <c r="R22" s="256" t="s">
        <v>675</v>
      </c>
      <c r="S22" s="878" t="str">
        <f>cst_wskakunin_KENPEI_RITU_C</f>
        <v/>
      </c>
      <c r="T22" s="878"/>
      <c r="U22" s="878"/>
      <c r="V22" s="260" t="s">
        <v>486</v>
      </c>
      <c r="W22" s="256" t="s">
        <v>675</v>
      </c>
      <c r="X22" s="878" t="str">
        <f>cst_wskakunin_KENPEI_RITU_D</f>
        <v/>
      </c>
      <c r="Y22" s="878"/>
      <c r="Z22" s="878"/>
      <c r="AA22" s="260" t="s">
        <v>486</v>
      </c>
      <c r="AB22" s="256" t="s">
        <v>3</v>
      </c>
    </row>
    <row r="23" spans="2:30" s="256" customFormat="1" ht="12" customHeight="1" x14ac:dyDescent="0.15">
      <c r="D23" s="256" t="s">
        <v>679</v>
      </c>
      <c r="I23" s="273" t="s">
        <v>29</v>
      </c>
      <c r="J23" s="878">
        <f>cst_wskakunin_SHIKITI_MENSEKI_1_TOTAL</f>
        <v>367</v>
      </c>
      <c r="K23" s="878"/>
      <c r="L23" s="878"/>
      <c r="M23" s="256" t="s">
        <v>79</v>
      </c>
    </row>
    <row r="24" spans="2:30" s="256" customFormat="1" ht="12" customHeight="1" x14ac:dyDescent="0.15">
      <c r="I24" s="273" t="s">
        <v>31</v>
      </c>
      <c r="J24" s="878" t="str">
        <f>cst_wskakunin_SHIKITI_MENSEKI_2_TOTAL</f>
        <v/>
      </c>
      <c r="K24" s="878"/>
      <c r="L24" s="878"/>
      <c r="M24" s="256" t="s">
        <v>79</v>
      </c>
    </row>
    <row r="25" spans="2:30" s="256" customFormat="1" ht="12" customHeight="1" x14ac:dyDescent="0.15">
      <c r="D25" s="256" t="s">
        <v>680</v>
      </c>
      <c r="Q25" s="878">
        <f>cst_wskakunin_LIMIT_YOUSEKI_RITU</f>
        <v>200</v>
      </c>
      <c r="R25" s="878"/>
      <c r="S25" s="878"/>
      <c r="T25" s="879" t="s">
        <v>486</v>
      </c>
      <c r="U25" s="879"/>
    </row>
    <row r="26" spans="2:30" s="256" customFormat="1" ht="12" customHeight="1" x14ac:dyDescent="0.15">
      <c r="D26" s="256" t="s">
        <v>681</v>
      </c>
      <c r="Q26" s="878">
        <f>cst_wskakunin_LIMIT_KENPEI_RITU</f>
        <v>60</v>
      </c>
      <c r="R26" s="878"/>
      <c r="S26" s="878"/>
      <c r="T26" s="879" t="s">
        <v>486</v>
      </c>
      <c r="U26" s="879"/>
    </row>
    <row r="27" spans="2:30" s="256" customFormat="1" ht="12" customHeight="1" x14ac:dyDescent="0.15">
      <c r="D27" s="256" t="s">
        <v>682</v>
      </c>
      <c r="F27" s="274"/>
      <c r="G27"/>
      <c r="H27" s="880" t="str">
        <f>cst_wskakunin_SHIKITI_MENSEKI_BIKOU</f>
        <v/>
      </c>
      <c r="I27" s="880"/>
      <c r="J27" s="880"/>
      <c r="K27" s="880"/>
      <c r="L27" s="880"/>
      <c r="M27" s="880"/>
      <c r="N27" s="880"/>
      <c r="O27" s="880"/>
      <c r="P27" s="880"/>
      <c r="Q27" s="880"/>
      <c r="R27" s="880"/>
      <c r="S27" s="880"/>
      <c r="T27" s="880"/>
      <c r="U27" s="880"/>
      <c r="V27" s="880"/>
      <c r="W27" s="880"/>
      <c r="X27" s="880"/>
      <c r="Y27" s="880"/>
      <c r="Z27" s="880"/>
      <c r="AA27" s="880"/>
      <c r="AB27" s="880"/>
      <c r="AC27" s="880"/>
      <c r="AD27" s="880"/>
    </row>
    <row r="28" spans="2:30" s="256" customFormat="1" ht="12" customHeight="1" x14ac:dyDescent="0.15">
      <c r="B28" s="261"/>
      <c r="C28" s="261"/>
      <c r="D28" s="261"/>
      <c r="E28" s="261"/>
      <c r="F28" s="275"/>
      <c r="G28" s="275"/>
      <c r="H28" s="881"/>
      <c r="I28" s="881"/>
      <c r="J28" s="881"/>
      <c r="K28" s="881"/>
      <c r="L28" s="881"/>
      <c r="M28" s="881"/>
      <c r="N28" s="881"/>
      <c r="O28" s="881"/>
      <c r="P28" s="881"/>
      <c r="Q28" s="881"/>
      <c r="R28" s="881"/>
      <c r="S28" s="881"/>
      <c r="T28" s="881"/>
      <c r="U28" s="881"/>
      <c r="V28" s="881"/>
      <c r="W28" s="881"/>
      <c r="X28" s="881"/>
      <c r="Y28" s="881"/>
      <c r="Z28" s="881"/>
      <c r="AA28" s="881"/>
      <c r="AB28" s="881"/>
      <c r="AC28" s="881"/>
      <c r="AD28" s="881"/>
    </row>
    <row r="29" spans="2:30" ht="12" customHeight="1" x14ac:dyDescent="0.15">
      <c r="B29" s="276"/>
      <c r="C29" s="277" t="s">
        <v>683</v>
      </c>
      <c r="D29" s="276"/>
      <c r="E29" s="276"/>
      <c r="F29" s="882" t="s">
        <v>684</v>
      </c>
      <c r="G29" s="882"/>
      <c r="H29" s="883" t="str">
        <f>cst_wskakunin_YOUTO_CODE</f>
        <v>08010</v>
      </c>
      <c r="I29" s="883"/>
      <c r="J29" s="883"/>
      <c r="K29" s="883"/>
      <c r="L29" s="276" t="s">
        <v>3</v>
      </c>
      <c r="M29" s="867" t="str">
        <f>cst_wskakunin_YOUTO</f>
        <v>一戸建ての住宅</v>
      </c>
      <c r="N29" s="867"/>
      <c r="O29" s="867"/>
      <c r="P29" s="867"/>
      <c r="Q29" s="867"/>
      <c r="R29" s="867"/>
      <c r="S29" s="867"/>
      <c r="T29" s="867"/>
      <c r="U29" s="867"/>
      <c r="V29" s="867"/>
      <c r="W29" s="867"/>
      <c r="X29" s="867"/>
      <c r="Y29" s="867"/>
      <c r="Z29" s="867"/>
      <c r="AA29" s="867"/>
      <c r="AB29" s="867"/>
      <c r="AC29" s="867"/>
      <c r="AD29" s="867"/>
    </row>
    <row r="30" spans="2:30" ht="12" customHeight="1" x14ac:dyDescent="0.15">
      <c r="B30" s="258"/>
      <c r="C30" s="278"/>
      <c r="D30" s="258"/>
      <c r="E30" s="258"/>
      <c r="F30" s="258"/>
      <c r="G30" s="272"/>
      <c r="H30" s="279"/>
      <c r="I30" s="279"/>
      <c r="J30" s="279"/>
      <c r="K30" s="279"/>
      <c r="L30" s="258"/>
      <c r="M30" s="886"/>
      <c r="N30" s="886"/>
      <c r="O30" s="886"/>
      <c r="P30" s="886"/>
      <c r="Q30" s="886"/>
      <c r="R30" s="886"/>
      <c r="S30" s="886"/>
      <c r="T30" s="886"/>
      <c r="U30" s="886"/>
      <c r="V30" s="886"/>
      <c r="W30" s="886"/>
      <c r="X30" s="886"/>
      <c r="Y30" s="886"/>
      <c r="Z30" s="886"/>
      <c r="AA30" s="886"/>
      <c r="AB30" s="886"/>
      <c r="AC30" s="886"/>
      <c r="AD30" s="886"/>
    </row>
    <row r="31" spans="2:30" ht="12" customHeight="1" x14ac:dyDescent="0.15">
      <c r="C31" s="12" t="s">
        <v>685</v>
      </c>
      <c r="G31" s="240" t="str">
        <f>cst_wskakunin_KOUJI_SINTIKU_box</f>
        <v>■</v>
      </c>
      <c r="H31" s="252" t="s">
        <v>113</v>
      </c>
      <c r="K31" s="240" t="str">
        <f>cst_wskakunin_KOUJI_ZOUTIKU_box</f>
        <v>□</v>
      </c>
      <c r="L31" s="252" t="s">
        <v>432</v>
      </c>
      <c r="N31" s="240" t="str">
        <f>cst_wskakunin_KOUJI_KAITIKU_box</f>
        <v>□</v>
      </c>
      <c r="O31" s="252" t="s">
        <v>433</v>
      </c>
      <c r="Q31" s="240" t="str">
        <f>cst_wskakunin_KOUJI_ITEN_box</f>
        <v>□</v>
      </c>
      <c r="R31" s="252" t="s">
        <v>434</v>
      </c>
      <c r="T31" s="240" t="str">
        <f>cst_wskakunin_KOUJI_YOUTOHENKOU_box</f>
        <v>□</v>
      </c>
      <c r="U31" s="252" t="s">
        <v>583</v>
      </c>
    </row>
    <row r="32" spans="2:30" ht="12" customHeight="1" x14ac:dyDescent="0.15">
      <c r="B32" s="258"/>
      <c r="C32" s="258"/>
      <c r="D32" s="258"/>
      <c r="E32" s="258"/>
      <c r="F32" s="258"/>
      <c r="G32" s="280" t="str">
        <f>cst_wskakunin_KOUJI_DAI_SYUUZEN_box</f>
        <v>□</v>
      </c>
      <c r="H32" s="258" t="s">
        <v>1200</v>
      </c>
      <c r="I32" s="258"/>
      <c r="J32" s="258"/>
      <c r="K32" s="258"/>
      <c r="L32" s="258"/>
      <c r="M32" s="258"/>
      <c r="N32" s="280" t="str">
        <f>cst_wskakunin_KOUJI_DAI_MOYOUGAE_box</f>
        <v>□</v>
      </c>
      <c r="O32" s="258" t="s">
        <v>1202</v>
      </c>
      <c r="P32" s="258"/>
      <c r="Q32" s="258"/>
      <c r="R32" s="258"/>
      <c r="S32" s="258"/>
      <c r="T32" s="258"/>
      <c r="U32" s="258"/>
      <c r="W32" s="281"/>
      <c r="X32" s="258"/>
      <c r="Y32" s="258"/>
      <c r="Z32" s="258"/>
      <c r="AA32" s="258"/>
      <c r="AB32" s="258"/>
      <c r="AC32" s="258"/>
      <c r="AD32" s="258"/>
    </row>
    <row r="33" spans="2:30" ht="12" customHeight="1" x14ac:dyDescent="0.15">
      <c r="C33" s="12" t="s">
        <v>686</v>
      </c>
      <c r="L33" s="282" t="s">
        <v>2</v>
      </c>
      <c r="M33" s="882" t="s">
        <v>687</v>
      </c>
      <c r="N33" s="882"/>
      <c r="O33" s="882"/>
      <c r="P33" s="882"/>
      <c r="Q33" s="252" t="s">
        <v>3</v>
      </c>
      <c r="R33" s="282" t="s">
        <v>2</v>
      </c>
      <c r="S33" s="882" t="s">
        <v>585</v>
      </c>
      <c r="T33" s="882"/>
      <c r="U33" s="882"/>
      <c r="V33" s="882"/>
      <c r="W33" s="882"/>
      <c r="X33" s="252" t="s">
        <v>3</v>
      </c>
      <c r="Y33" s="282" t="s">
        <v>2</v>
      </c>
      <c r="Z33" s="882" t="s">
        <v>586</v>
      </c>
      <c r="AA33" s="882"/>
      <c r="AB33" s="882"/>
      <c r="AC33" s="882"/>
      <c r="AD33" s="252" t="s">
        <v>3</v>
      </c>
    </row>
    <row r="34" spans="2:30" ht="12" customHeight="1" x14ac:dyDescent="0.15">
      <c r="D34" s="347" t="s">
        <v>689</v>
      </c>
      <c r="L34" s="282" t="s">
        <v>2</v>
      </c>
      <c r="M34" s="885">
        <f>cst_wskakunin_KENTIKU_MENSEKI_ZENTAI_SHINSEI</f>
        <v>129.18</v>
      </c>
      <c r="N34" s="885"/>
      <c r="O34" s="885"/>
      <c r="P34" s="270" t="s">
        <v>79</v>
      </c>
      <c r="Q34" s="252" t="s">
        <v>3</v>
      </c>
      <c r="R34" s="282" t="s">
        <v>2</v>
      </c>
      <c r="S34" s="885" t="str">
        <f>cst_wskakunin_KENTIKU_MENSEKI_ZENTAI_IGAI</f>
        <v/>
      </c>
      <c r="T34" s="885"/>
      <c r="U34" s="885"/>
      <c r="V34" s="885"/>
      <c r="W34" s="270" t="s">
        <v>79</v>
      </c>
      <c r="X34" s="252" t="s">
        <v>3</v>
      </c>
      <c r="Y34" s="282" t="s">
        <v>2</v>
      </c>
      <c r="Z34" s="885">
        <f>cst_wskakunin_KENTIKU_MENSEKI_ZENTAI_TOTAL</f>
        <v>129.18</v>
      </c>
      <c r="AA34" s="885"/>
      <c r="AB34" s="885"/>
      <c r="AC34" s="270" t="s">
        <v>79</v>
      </c>
      <c r="AD34" s="252" t="s">
        <v>3</v>
      </c>
    </row>
    <row r="35" spans="2:30" ht="12" customHeight="1" x14ac:dyDescent="0.15">
      <c r="D35" s="347" t="s">
        <v>3062</v>
      </c>
      <c r="L35" s="282"/>
      <c r="M35" s="348"/>
      <c r="N35" s="348"/>
      <c r="O35" s="348"/>
      <c r="P35" s="270"/>
      <c r="R35" s="282"/>
      <c r="S35" s="348"/>
      <c r="T35" s="348"/>
      <c r="U35" s="348"/>
      <c r="V35" s="348"/>
      <c r="W35" s="270"/>
      <c r="Y35" s="282"/>
      <c r="Z35" s="348"/>
      <c r="AA35" s="348"/>
      <c r="AB35" s="348"/>
      <c r="AC35" s="270"/>
    </row>
    <row r="36" spans="2:30" ht="12" customHeight="1" x14ac:dyDescent="0.15">
      <c r="L36" s="282" t="s">
        <v>2</v>
      </c>
      <c r="M36" s="885">
        <f>cst_wskakunin_KENTIKU_MENSEKI_SHINSEI</f>
        <v>129.18</v>
      </c>
      <c r="N36" s="885"/>
      <c r="O36" s="885"/>
      <c r="P36" s="270" t="s">
        <v>79</v>
      </c>
      <c r="Q36" s="252" t="s">
        <v>3</v>
      </c>
      <c r="R36" s="282" t="s">
        <v>2</v>
      </c>
      <c r="S36" s="885" t="str">
        <f>cst_wskakunin_KENTIKU_MENSEKI_IGAI</f>
        <v/>
      </c>
      <c r="T36" s="885"/>
      <c r="U36" s="885"/>
      <c r="V36" s="885"/>
      <c r="W36" s="270" t="s">
        <v>79</v>
      </c>
      <c r="X36" s="252" t="s">
        <v>3</v>
      </c>
      <c r="Y36" s="282" t="s">
        <v>2</v>
      </c>
      <c r="Z36" s="885">
        <f>cst_wskakunin_KENTIKU_MENSEKI_TOTAL</f>
        <v>129.18</v>
      </c>
      <c r="AA36" s="885"/>
      <c r="AB36" s="885"/>
      <c r="AC36" s="270" t="s">
        <v>79</v>
      </c>
      <c r="AD36" s="252" t="s">
        <v>3</v>
      </c>
    </row>
    <row r="37" spans="2:30" ht="12" customHeight="1" x14ac:dyDescent="0.15">
      <c r="B37" s="258"/>
      <c r="C37" s="258"/>
      <c r="D37" s="258" t="s">
        <v>3097</v>
      </c>
      <c r="E37" s="258"/>
      <c r="F37" s="258"/>
      <c r="G37" s="258"/>
      <c r="H37" s="258"/>
      <c r="I37" s="258"/>
      <c r="J37" s="258"/>
      <c r="K37" s="258"/>
      <c r="L37" s="258"/>
      <c r="M37" s="884">
        <f>cst_wskakunin_KENPEI_RITU</f>
        <v>35.200000000000003</v>
      </c>
      <c r="N37" s="884"/>
      <c r="O37" s="884"/>
      <c r="P37" s="272" t="s">
        <v>486</v>
      </c>
      <c r="Q37" s="258"/>
      <c r="R37" s="258"/>
      <c r="S37" s="258"/>
      <c r="T37" s="258"/>
      <c r="U37" s="258"/>
      <c r="V37" s="258"/>
      <c r="W37" s="258"/>
      <c r="X37" s="258"/>
      <c r="Y37" s="258"/>
      <c r="Z37" s="258"/>
      <c r="AA37" s="258"/>
      <c r="AB37" s="258"/>
      <c r="AC37" s="258"/>
      <c r="AD37" s="258"/>
    </row>
    <row r="38" spans="2:30" ht="12" customHeight="1" x14ac:dyDescent="0.15">
      <c r="C38" s="12" t="s">
        <v>688</v>
      </c>
      <c r="L38" s="282" t="s">
        <v>2</v>
      </c>
      <c r="M38" s="882" t="s">
        <v>687</v>
      </c>
      <c r="N38" s="882"/>
      <c r="O38" s="882"/>
      <c r="P38" s="882"/>
      <c r="Q38" s="252" t="s">
        <v>3</v>
      </c>
      <c r="R38" s="282" t="s">
        <v>2</v>
      </c>
      <c r="S38" s="882" t="s">
        <v>585</v>
      </c>
      <c r="T38" s="882"/>
      <c r="U38" s="882"/>
      <c r="V38" s="882"/>
      <c r="W38" s="882"/>
      <c r="X38" s="252" t="s">
        <v>3</v>
      </c>
      <c r="Y38" s="282" t="s">
        <v>2</v>
      </c>
      <c r="Z38" s="882" t="s">
        <v>586</v>
      </c>
      <c r="AA38" s="882"/>
      <c r="AB38" s="882"/>
      <c r="AC38" s="882"/>
      <c r="AD38" s="252" t="s">
        <v>3</v>
      </c>
    </row>
    <row r="39" spans="2:30" ht="12" customHeight="1" x14ac:dyDescent="0.15">
      <c r="D39" s="252" t="s">
        <v>689</v>
      </c>
      <c r="L39" s="282" t="s">
        <v>2</v>
      </c>
      <c r="M39" s="885">
        <f>cst_wskakunin_NOBE_MENSEKI_BUILD_SHINSEI</f>
        <v>117.59</v>
      </c>
      <c r="N39" s="885"/>
      <c r="O39" s="885"/>
      <c r="P39" s="270" t="s">
        <v>79</v>
      </c>
      <c r="Q39" s="252" t="s">
        <v>3</v>
      </c>
      <c r="R39" s="282" t="s">
        <v>2</v>
      </c>
      <c r="S39" s="885" t="str">
        <f>cst_wskakunin_NOBE_MENSEKI_BUILD_IGAI</f>
        <v/>
      </c>
      <c r="T39" s="885"/>
      <c r="U39" s="885"/>
      <c r="V39" s="885"/>
      <c r="W39" s="270" t="s">
        <v>79</v>
      </c>
      <c r="X39" s="252" t="s">
        <v>3</v>
      </c>
      <c r="Y39" s="282" t="s">
        <v>2</v>
      </c>
      <c r="Z39" s="885">
        <f>cst_wskakunin_NOBE_MENSEKI_BUILD_TOTAL</f>
        <v>117.59</v>
      </c>
      <c r="AA39" s="885"/>
      <c r="AB39" s="885"/>
      <c r="AC39" s="270" t="s">
        <v>79</v>
      </c>
      <c r="AD39" s="252" t="s">
        <v>3</v>
      </c>
    </row>
    <row r="40" spans="2:30" ht="12" customHeight="1" x14ac:dyDescent="0.15">
      <c r="D40" s="252" t="s">
        <v>2568</v>
      </c>
    </row>
    <row r="41" spans="2:30" ht="12" customHeight="1" x14ac:dyDescent="0.15">
      <c r="L41" s="282" t="s">
        <v>2</v>
      </c>
      <c r="M41" s="885" t="str">
        <f>cst_wskakunin_NOBE_MENSEKI_TIKAI_SHINSEI</f>
        <v/>
      </c>
      <c r="N41" s="885"/>
      <c r="O41" s="885"/>
      <c r="P41" s="270" t="s">
        <v>79</v>
      </c>
      <c r="Q41" s="252" t="s">
        <v>3</v>
      </c>
      <c r="R41" s="282" t="s">
        <v>2</v>
      </c>
      <c r="S41" s="885" t="str">
        <f>cst_wskakunin_NOBE_MENSEKI_TIKAI_IGAI</f>
        <v/>
      </c>
      <c r="T41" s="885"/>
      <c r="U41" s="885"/>
      <c r="V41" s="885"/>
      <c r="W41" s="270" t="s">
        <v>79</v>
      </c>
      <c r="X41" s="252" t="s">
        <v>3</v>
      </c>
      <c r="Y41" s="282" t="s">
        <v>2</v>
      </c>
      <c r="Z41" s="885" t="str">
        <f>cst_wskakunin_NOBE_MENSEKI_TIKAI_TOTAL</f>
        <v/>
      </c>
      <c r="AA41" s="885"/>
      <c r="AB41" s="885"/>
      <c r="AC41" s="270" t="s">
        <v>79</v>
      </c>
      <c r="AD41" s="252" t="s">
        <v>3</v>
      </c>
    </row>
    <row r="42" spans="2:30" ht="12" customHeight="1" x14ac:dyDescent="0.15">
      <c r="D42" s="252" t="s">
        <v>690</v>
      </c>
      <c r="L42" s="282" t="s">
        <v>2</v>
      </c>
      <c r="M42" s="885" t="str">
        <f>cst_wskakunin_NOBE_MENSEKI_SYOUKOURO_SHINSEI</f>
        <v/>
      </c>
      <c r="N42" s="885"/>
      <c r="O42" s="885"/>
      <c r="P42" s="270" t="s">
        <v>79</v>
      </c>
      <c r="Q42" s="252" t="s">
        <v>3</v>
      </c>
      <c r="R42" s="282" t="s">
        <v>2</v>
      </c>
      <c r="S42" s="885" t="str">
        <f>cst_wskakunin_NOBE_MENSEKI_SYOUKOURO_IGAI</f>
        <v/>
      </c>
      <c r="T42" s="885"/>
      <c r="U42" s="885"/>
      <c r="V42" s="885"/>
      <c r="W42" s="270" t="s">
        <v>79</v>
      </c>
      <c r="X42" s="252" t="s">
        <v>3</v>
      </c>
      <c r="Y42" s="282" t="s">
        <v>2</v>
      </c>
      <c r="Z42" s="885" t="str">
        <f>cst_wskakunin_NOBE_MENSEKI_SYOUKOURO_TOTAL</f>
        <v/>
      </c>
      <c r="AA42" s="885"/>
      <c r="AB42" s="885"/>
      <c r="AC42" s="270" t="s">
        <v>79</v>
      </c>
      <c r="AD42" s="252" t="s">
        <v>3</v>
      </c>
    </row>
    <row r="43" spans="2:30" ht="12" customHeight="1" x14ac:dyDescent="0.15">
      <c r="D43" s="252" t="s">
        <v>2569</v>
      </c>
      <c r="L43" s="282"/>
      <c r="M43" s="283"/>
      <c r="N43" s="283"/>
      <c r="O43" s="283"/>
      <c r="P43" s="270"/>
      <c r="R43" s="282"/>
      <c r="S43" s="283"/>
      <c r="T43" s="283"/>
      <c r="U43" s="283"/>
      <c r="V43" s="283"/>
      <c r="W43" s="270"/>
      <c r="Y43" s="282"/>
      <c r="Z43" s="283"/>
      <c r="AA43" s="283"/>
      <c r="AB43" s="283"/>
      <c r="AC43" s="270"/>
    </row>
    <row r="44" spans="2:30" ht="12" customHeight="1" x14ac:dyDescent="0.15">
      <c r="L44" s="282" t="s">
        <v>2</v>
      </c>
      <c r="M44" s="885" t="str">
        <f>cst_wskakunin_NOBE_MENSEKI_KYOYOU_SHINSEI</f>
        <v/>
      </c>
      <c r="N44" s="885"/>
      <c r="O44" s="885"/>
      <c r="P44" s="270" t="s">
        <v>79</v>
      </c>
      <c r="Q44" s="252" t="s">
        <v>3</v>
      </c>
      <c r="R44" s="282" t="s">
        <v>2</v>
      </c>
      <c r="S44" s="885" t="str">
        <f>cst_wskakunin_NOBE_MENSEKI_KYOYOU_IGAI</f>
        <v/>
      </c>
      <c r="T44" s="885"/>
      <c r="U44" s="885"/>
      <c r="V44" s="885"/>
      <c r="W44" s="270" t="s">
        <v>79</v>
      </c>
      <c r="X44" s="252" t="s">
        <v>3</v>
      </c>
      <c r="Y44" s="282" t="s">
        <v>2</v>
      </c>
      <c r="Z44" s="885" t="str">
        <f>cst_wskakunin_NOBE_MENSEKI_KYOYOU_TOTAL</f>
        <v/>
      </c>
      <c r="AA44" s="885"/>
      <c r="AB44" s="885"/>
      <c r="AC44" s="270" t="s">
        <v>79</v>
      </c>
      <c r="AD44" s="252" t="s">
        <v>3</v>
      </c>
    </row>
    <row r="45" spans="2:30" ht="12" customHeight="1" x14ac:dyDescent="0.15">
      <c r="D45" s="347" t="s">
        <v>3070</v>
      </c>
      <c r="L45" s="282" t="s">
        <v>2</v>
      </c>
      <c r="M45" s="885" t="str">
        <f>cst_wskakunin_NOBE_MENSEKI_KIKAI_SHINSEI</f>
        <v/>
      </c>
      <c r="N45" s="885"/>
      <c r="O45" s="885"/>
      <c r="P45" s="270" t="s">
        <v>79</v>
      </c>
      <c r="Q45" s="252" t="s">
        <v>3</v>
      </c>
      <c r="R45" s="282" t="s">
        <v>2</v>
      </c>
      <c r="S45" s="885" t="str">
        <f>cst_wskakunin_NOBE_MENSEKI_KIKAI_IGAI</f>
        <v/>
      </c>
      <c r="T45" s="885"/>
      <c r="U45" s="885"/>
      <c r="V45" s="885"/>
      <c r="W45" s="270" t="s">
        <v>79</v>
      </c>
      <c r="X45" s="252" t="s">
        <v>3</v>
      </c>
      <c r="Y45" s="282" t="s">
        <v>2</v>
      </c>
      <c r="Z45" s="885" t="str">
        <f>cst_wskakunin_NOBE_MENSEKI_KIKAI_TOTAL</f>
        <v/>
      </c>
      <c r="AA45" s="885"/>
      <c r="AB45" s="885"/>
      <c r="AC45" s="270" t="s">
        <v>79</v>
      </c>
      <c r="AD45" s="252" t="s">
        <v>3</v>
      </c>
    </row>
    <row r="46" spans="2:30" ht="12" customHeight="1" x14ac:dyDescent="0.15">
      <c r="D46" s="347" t="s">
        <v>3071</v>
      </c>
      <c r="L46" s="282" t="s">
        <v>2</v>
      </c>
      <c r="M46" s="885" t="str">
        <f>cst_wskakunin_NOBE_MENSEKI_SYAKO_SHINSEI</f>
        <v/>
      </c>
      <c r="N46" s="885"/>
      <c r="O46" s="885"/>
      <c r="P46" s="270" t="s">
        <v>79</v>
      </c>
      <c r="Q46" s="252" t="s">
        <v>3</v>
      </c>
      <c r="R46" s="282" t="s">
        <v>2</v>
      </c>
      <c r="S46" s="885" t="str">
        <f>cst_wskakunin_NOBE_MENSEKI_SYAKO_IGAI</f>
        <v/>
      </c>
      <c r="T46" s="885"/>
      <c r="U46" s="885"/>
      <c r="V46" s="885"/>
      <c r="W46" s="270" t="s">
        <v>79</v>
      </c>
      <c r="X46" s="252" t="s">
        <v>3</v>
      </c>
      <c r="Y46" s="282" t="s">
        <v>2</v>
      </c>
      <c r="Z46" s="885" t="str">
        <f>cst_wskakunin_NOBE_MENSEKI_SYAKO_TOTAL</f>
        <v/>
      </c>
      <c r="AA46" s="885"/>
      <c r="AB46" s="885"/>
      <c r="AC46" s="270" t="s">
        <v>79</v>
      </c>
      <c r="AD46" s="252" t="s">
        <v>3</v>
      </c>
    </row>
    <row r="47" spans="2:30" ht="12" customHeight="1" x14ac:dyDescent="0.15">
      <c r="D47" s="347" t="s">
        <v>3072</v>
      </c>
      <c r="L47" s="282" t="s">
        <v>2</v>
      </c>
      <c r="M47" s="885" t="str">
        <f>cst_wskakunin_NOBE_MENSEKI_BITIKUSOUKO_SHINSEI</f>
        <v/>
      </c>
      <c r="N47" s="885"/>
      <c r="O47" s="885"/>
      <c r="P47" s="270" t="s">
        <v>79</v>
      </c>
      <c r="Q47" s="252" t="s">
        <v>3</v>
      </c>
      <c r="R47" s="282" t="s">
        <v>2</v>
      </c>
      <c r="S47" s="885" t="str">
        <f>cst_wskakunin_NOBE_MENSEKI_BITIKUSOUKO_IGAI</f>
        <v/>
      </c>
      <c r="T47" s="885"/>
      <c r="U47" s="885"/>
      <c r="V47" s="885"/>
      <c r="W47" s="270" t="s">
        <v>79</v>
      </c>
      <c r="X47" s="252" t="s">
        <v>3</v>
      </c>
      <c r="Y47" s="282" t="s">
        <v>2</v>
      </c>
      <c r="Z47" s="885" t="str">
        <f>cst_wskakunin_NOBE_MENSEKI_BITIKUSOUKO_TOTAL</f>
        <v/>
      </c>
      <c r="AA47" s="885"/>
      <c r="AB47" s="885"/>
      <c r="AC47" s="270" t="s">
        <v>79</v>
      </c>
      <c r="AD47" s="252" t="s">
        <v>3</v>
      </c>
    </row>
    <row r="48" spans="2:30" ht="12" customHeight="1" x14ac:dyDescent="0.15">
      <c r="D48" s="347" t="s">
        <v>3073</v>
      </c>
      <c r="L48" s="282" t="s">
        <v>2</v>
      </c>
      <c r="M48" s="885" t="str">
        <f>cst_wskakunin_NOBE_MENSEKI_TIKUDENTI_SHINSEI</f>
        <v/>
      </c>
      <c r="N48" s="885"/>
      <c r="O48" s="885"/>
      <c r="P48" s="270" t="s">
        <v>79</v>
      </c>
      <c r="Q48" s="252" t="s">
        <v>3</v>
      </c>
      <c r="R48" s="282" t="s">
        <v>2</v>
      </c>
      <c r="S48" s="885" t="str">
        <f>cst_wskakunin_NOBE_MENSEKI_TIKUDENTI_IGAI</f>
        <v/>
      </c>
      <c r="T48" s="885"/>
      <c r="U48" s="885"/>
      <c r="V48" s="885"/>
      <c r="W48" s="270" t="s">
        <v>79</v>
      </c>
      <c r="X48" s="252" t="s">
        <v>3</v>
      </c>
      <c r="Y48" s="282" t="s">
        <v>2</v>
      </c>
      <c r="Z48" s="885" t="str">
        <f>cst_wskakunin_NOBE_MENSEKI_TIKUDENTI_TOTAL</f>
        <v/>
      </c>
      <c r="AA48" s="885"/>
      <c r="AB48" s="885"/>
      <c r="AC48" s="270" t="s">
        <v>79</v>
      </c>
      <c r="AD48" s="252" t="s">
        <v>3</v>
      </c>
    </row>
    <row r="49" spans="2:30" ht="12" customHeight="1" x14ac:dyDescent="0.15">
      <c r="D49" s="347" t="s">
        <v>3074</v>
      </c>
      <c r="L49" s="282" t="s">
        <v>2</v>
      </c>
      <c r="M49" s="885" t="str">
        <f>cst_wskakunin_NOBE_MENSEKI_JIKAHATUDEN_SHINSEI</f>
        <v/>
      </c>
      <c r="N49" s="885"/>
      <c r="O49" s="885"/>
      <c r="P49" s="270" t="s">
        <v>79</v>
      </c>
      <c r="Q49" s="252" t="s">
        <v>3</v>
      </c>
      <c r="R49" s="282" t="s">
        <v>2</v>
      </c>
      <c r="S49" s="885" t="str">
        <f>cst_wskakunin_NOBE_MENSEKI_JIKAHATUDEN_IGAI</f>
        <v/>
      </c>
      <c r="T49" s="885"/>
      <c r="U49" s="885"/>
      <c r="V49" s="885"/>
      <c r="W49" s="270" t="s">
        <v>79</v>
      </c>
      <c r="X49" s="252" t="s">
        <v>3</v>
      </c>
      <c r="Y49" s="282" t="s">
        <v>2</v>
      </c>
      <c r="Z49" s="885" t="str">
        <f>cst_wskakunin_NOBE_MENSEKI_JIKAHATUDEN_TOTAL</f>
        <v/>
      </c>
      <c r="AA49" s="885"/>
      <c r="AB49" s="885"/>
      <c r="AC49" s="270" t="s">
        <v>79</v>
      </c>
      <c r="AD49" s="252" t="s">
        <v>3</v>
      </c>
    </row>
    <row r="50" spans="2:30" ht="12" customHeight="1" x14ac:dyDescent="0.15">
      <c r="D50" s="347" t="s">
        <v>3075</v>
      </c>
      <c r="L50" s="282" t="s">
        <v>2</v>
      </c>
      <c r="M50" s="885" t="str">
        <f>cst_wskakunin_NOBE_MENSEKI_CHOSUISOU_SHINSEI</f>
        <v/>
      </c>
      <c r="N50" s="885"/>
      <c r="O50" s="885"/>
      <c r="P50" s="270" t="s">
        <v>79</v>
      </c>
      <c r="Q50" s="252" t="s">
        <v>3</v>
      </c>
      <c r="R50" s="282" t="s">
        <v>2</v>
      </c>
      <c r="S50" s="885" t="str">
        <f>cst_wskakunin_NOBE_MENSEKI_CHOSUISOU_IGAI</f>
        <v/>
      </c>
      <c r="T50" s="885"/>
      <c r="U50" s="885"/>
      <c r="V50" s="885"/>
      <c r="W50" s="270" t="s">
        <v>79</v>
      </c>
      <c r="X50" s="252" t="s">
        <v>3</v>
      </c>
      <c r="Y50" s="282" t="s">
        <v>2</v>
      </c>
      <c r="Z50" s="885" t="str">
        <f>cst_wskakunin_NOBE_MENSEKI_CHOSUISOU_TOTAL</f>
        <v/>
      </c>
      <c r="AA50" s="885"/>
      <c r="AB50" s="885"/>
      <c r="AC50" s="270" t="s">
        <v>79</v>
      </c>
      <c r="AD50" s="252" t="s">
        <v>3</v>
      </c>
    </row>
    <row r="51" spans="2:30" ht="12" customHeight="1" x14ac:dyDescent="0.15">
      <c r="D51" s="347" t="s">
        <v>3076</v>
      </c>
      <c r="L51" s="282" t="s">
        <v>2</v>
      </c>
      <c r="M51" s="885" t="str">
        <f>cst_wskakunin_NOBE_MENSEKI_TAKUHAI_SHINSEI</f>
        <v/>
      </c>
      <c r="N51" s="885"/>
      <c r="O51" s="885"/>
      <c r="P51" s="270" t="s">
        <v>79</v>
      </c>
      <c r="Q51" s="252" t="s">
        <v>3</v>
      </c>
      <c r="R51" s="282" t="s">
        <v>2</v>
      </c>
      <c r="S51" s="885" t="str">
        <f>cst_wskakunin_NOBE_MENSEKI_TAKUHAI_IGAI</f>
        <v/>
      </c>
      <c r="T51" s="885"/>
      <c r="U51" s="885"/>
      <c r="V51" s="885"/>
      <c r="W51" s="270" t="s">
        <v>79</v>
      </c>
      <c r="X51" s="252" t="s">
        <v>3</v>
      </c>
      <c r="Y51" s="282" t="s">
        <v>2</v>
      </c>
      <c r="Z51" s="885" t="str">
        <f>cst_wskakunin_NOBE_MENSEKI_TAKUHAI_TOTAL</f>
        <v/>
      </c>
      <c r="AA51" s="885"/>
      <c r="AB51" s="885"/>
      <c r="AC51" s="270" t="s">
        <v>79</v>
      </c>
      <c r="AD51" s="252" t="s">
        <v>3</v>
      </c>
    </row>
    <row r="52" spans="2:30" ht="12" customHeight="1" x14ac:dyDescent="0.15">
      <c r="D52" s="347" t="s">
        <v>3077</v>
      </c>
      <c r="L52" s="282" t="s">
        <v>2</v>
      </c>
      <c r="M52" s="885" t="str">
        <f>cst_wskakunin_NOBE_MENSEKI_FUSANNYU_SHINSEI</f>
        <v/>
      </c>
      <c r="N52" s="885"/>
      <c r="O52" s="885"/>
      <c r="P52" s="270" t="s">
        <v>79</v>
      </c>
      <c r="Q52" s="252" t="s">
        <v>3</v>
      </c>
      <c r="R52" s="282" t="s">
        <v>2</v>
      </c>
      <c r="S52" s="885" t="str">
        <f>cst_wskakunin_NOBE_MENSEKI_FUSANNYU_IGAI</f>
        <v/>
      </c>
      <c r="T52" s="885"/>
      <c r="U52" s="885"/>
      <c r="V52" s="885"/>
      <c r="W52" s="270" t="s">
        <v>79</v>
      </c>
      <c r="X52" s="252" t="s">
        <v>3</v>
      </c>
      <c r="Y52" s="282" t="s">
        <v>2</v>
      </c>
      <c r="Z52" s="885" t="str">
        <f>cst_wskakunin_NOBE_MENSEKI_FUSANNYU_TOTAL</f>
        <v/>
      </c>
      <c r="AA52" s="885"/>
      <c r="AB52" s="885"/>
      <c r="AC52" s="270" t="s">
        <v>79</v>
      </c>
      <c r="AD52" s="252" t="s">
        <v>3</v>
      </c>
    </row>
    <row r="53" spans="2:30" ht="12" customHeight="1" x14ac:dyDescent="0.15">
      <c r="D53" s="347" t="s">
        <v>3078</v>
      </c>
      <c r="L53" s="282" t="s">
        <v>2</v>
      </c>
      <c r="M53" s="885">
        <f>cst_wskakunin_NOBE_MENSEKI_JYUTAKU_SHINSEI</f>
        <v>117.59</v>
      </c>
      <c r="N53" s="885"/>
      <c r="O53" s="885"/>
      <c r="P53" s="270" t="s">
        <v>79</v>
      </c>
      <c r="Q53" s="252" t="s">
        <v>3</v>
      </c>
      <c r="R53" s="282" t="s">
        <v>2</v>
      </c>
      <c r="S53" s="885" t="str">
        <f>cst_wskakunin_NOBE_MENSEKI_JYUTAKU_IGAI</f>
        <v/>
      </c>
      <c r="T53" s="885"/>
      <c r="U53" s="885"/>
      <c r="V53" s="885"/>
      <c r="W53" s="270" t="s">
        <v>79</v>
      </c>
      <c r="X53" s="252" t="s">
        <v>3</v>
      </c>
      <c r="Y53" s="282" t="s">
        <v>2</v>
      </c>
      <c r="Z53" s="885">
        <f>cst_wskakunin_NOBE_MENSEKI_JYUTAKU_TOTAL</f>
        <v>117.59</v>
      </c>
      <c r="AA53" s="885"/>
      <c r="AB53" s="885"/>
      <c r="AC53" s="270" t="s">
        <v>79</v>
      </c>
      <c r="AD53" s="252" t="s">
        <v>3</v>
      </c>
    </row>
    <row r="54" spans="2:30" ht="12" customHeight="1" x14ac:dyDescent="0.15">
      <c r="D54" s="347" t="s">
        <v>3079</v>
      </c>
      <c r="L54" s="282" t="s">
        <v>2</v>
      </c>
      <c r="M54" s="885" t="str">
        <f>cst_wskakunin_NOBE_MENSEKI_ROUJIN_SHINSEI</f>
        <v/>
      </c>
      <c r="N54" s="885"/>
      <c r="O54" s="885"/>
      <c r="P54" s="270" t="s">
        <v>79</v>
      </c>
      <c r="Q54" s="252" t="s">
        <v>3</v>
      </c>
      <c r="R54" s="282" t="s">
        <v>2</v>
      </c>
      <c r="S54" s="885" t="str">
        <f>cst_wskakunin_NOBE_MENSEKI_ROUJIN_IGAI</f>
        <v/>
      </c>
      <c r="T54" s="885"/>
      <c r="U54" s="885"/>
      <c r="V54" s="885"/>
      <c r="W54" s="270" t="s">
        <v>79</v>
      </c>
      <c r="X54" s="252" t="s">
        <v>3</v>
      </c>
      <c r="Y54" s="282" t="s">
        <v>2</v>
      </c>
      <c r="Z54" s="885" t="str">
        <f>cst_wskakunin_NOBE_MENSEKI_ROUJIN_TOTAL</f>
        <v/>
      </c>
      <c r="AA54" s="885"/>
      <c r="AB54" s="885"/>
      <c r="AC54" s="270" t="s">
        <v>79</v>
      </c>
      <c r="AD54" s="252" t="s">
        <v>3</v>
      </c>
    </row>
    <row r="55" spans="2:30" ht="12" customHeight="1" x14ac:dyDescent="0.15">
      <c r="D55" s="347" t="s">
        <v>3080</v>
      </c>
      <c r="L55" s="282" t="s">
        <v>2</v>
      </c>
      <c r="M55" s="885">
        <f>cst_wskakunin_NOBE_MENSEKI</f>
        <v>117.59</v>
      </c>
      <c r="N55" s="885"/>
      <c r="O55" s="885"/>
      <c r="P55" s="270" t="s">
        <v>79</v>
      </c>
      <c r="Q55" s="252" t="s">
        <v>3</v>
      </c>
      <c r="R55" s="282"/>
      <c r="S55" s="274"/>
      <c r="T55" s="274"/>
      <c r="U55" s="274"/>
      <c r="V55" s="274"/>
      <c r="W55" s="270"/>
    </row>
    <row r="56" spans="2:30" ht="12" customHeight="1" x14ac:dyDescent="0.15">
      <c r="B56" s="258"/>
      <c r="C56" s="258"/>
      <c r="D56" s="349" t="s">
        <v>3081</v>
      </c>
      <c r="E56" s="258"/>
      <c r="F56" s="258"/>
      <c r="G56" s="258"/>
      <c r="H56" s="258"/>
      <c r="I56" s="258"/>
      <c r="J56" s="258"/>
      <c r="K56" s="258"/>
      <c r="L56" s="281"/>
      <c r="M56" s="884">
        <f>cst_wskakunin_YOUSEKI_RITU</f>
        <v>32.049999999999997</v>
      </c>
      <c r="N56" s="884"/>
      <c r="O56" s="884"/>
      <c r="P56" s="272" t="s">
        <v>486</v>
      </c>
      <c r="Q56" s="258"/>
      <c r="R56" s="281"/>
      <c r="S56" s="279"/>
      <c r="T56" s="279"/>
      <c r="U56" s="279"/>
      <c r="V56" s="279"/>
      <c r="W56" s="272"/>
      <c r="X56" s="258"/>
      <c r="Y56" s="281"/>
      <c r="Z56" s="279"/>
      <c r="AA56" s="279"/>
      <c r="AB56" s="279"/>
      <c r="AC56" s="272"/>
      <c r="AD56" s="258"/>
    </row>
    <row r="57" spans="2:30" ht="12" customHeight="1" x14ac:dyDescent="0.15">
      <c r="C57" s="12" t="s">
        <v>691</v>
      </c>
    </row>
    <row r="58" spans="2:30" ht="12" customHeight="1" x14ac:dyDescent="0.15">
      <c r="D58" s="252" t="s">
        <v>692</v>
      </c>
      <c r="M58" s="887">
        <f>cst_wskakunin_BUILD_SHINSEI_COUNT</f>
        <v>1</v>
      </c>
      <c r="N58" s="887"/>
    </row>
    <row r="59" spans="2:30" ht="12" customHeight="1" x14ac:dyDescent="0.15">
      <c r="B59" s="258"/>
      <c r="C59" s="258"/>
      <c r="D59" s="258" t="s">
        <v>693</v>
      </c>
      <c r="E59" s="258"/>
      <c r="F59" s="258"/>
      <c r="G59" s="258"/>
      <c r="H59" s="258"/>
      <c r="I59" s="258"/>
      <c r="J59" s="258"/>
      <c r="K59" s="258"/>
      <c r="L59" s="258"/>
      <c r="M59" s="889" t="str">
        <f>cst_wskakunin_BUILD_SONOTA_COUNT</f>
        <v/>
      </c>
      <c r="N59" s="889"/>
      <c r="O59" s="258"/>
      <c r="P59" s="258"/>
      <c r="Q59" s="258"/>
      <c r="R59" s="258"/>
      <c r="S59" s="258"/>
      <c r="T59" s="258"/>
      <c r="U59" s="258"/>
      <c r="V59" s="258"/>
      <c r="W59" s="258"/>
      <c r="X59" s="258"/>
      <c r="Y59" s="258"/>
      <c r="Z59" s="258"/>
      <c r="AA59" s="258"/>
      <c r="AB59" s="258"/>
      <c r="AC59" s="258"/>
      <c r="AD59" s="258"/>
    </row>
    <row r="60" spans="2:30" ht="12" customHeight="1" x14ac:dyDescent="0.15">
      <c r="C60" s="12" t="s">
        <v>694</v>
      </c>
      <c r="I60" s="282" t="s">
        <v>2</v>
      </c>
      <c r="J60" s="882" t="s">
        <v>695</v>
      </c>
      <c r="K60" s="882"/>
      <c r="L60" s="882"/>
      <c r="M60" s="882"/>
      <c r="N60" s="882"/>
      <c r="O60" s="252" t="s">
        <v>3</v>
      </c>
      <c r="Q60" s="282" t="s">
        <v>2</v>
      </c>
      <c r="R60" s="882" t="s">
        <v>590</v>
      </c>
      <c r="S60" s="882"/>
      <c r="T60" s="882"/>
      <c r="U60" s="882"/>
      <c r="V60" s="882"/>
      <c r="W60" s="252" t="s">
        <v>3</v>
      </c>
    </row>
    <row r="61" spans="2:30" ht="12" customHeight="1" x14ac:dyDescent="0.15">
      <c r="D61" s="252" t="s">
        <v>696</v>
      </c>
      <c r="I61" s="282" t="s">
        <v>2</v>
      </c>
      <c r="J61" s="890">
        <f>cst_wskakunin_TAKASA_MAX_SHINSEI</f>
        <v>6.4809999999999999</v>
      </c>
      <c r="K61" s="890"/>
      <c r="L61" s="890"/>
      <c r="M61" s="890"/>
      <c r="N61" s="252" t="s">
        <v>671</v>
      </c>
      <c r="O61" s="252" t="s">
        <v>3</v>
      </c>
      <c r="Q61" s="282" t="s">
        <v>2</v>
      </c>
      <c r="R61" s="890" t="str">
        <f>cst_wskakunin_TAKASA_MAX_SONOTA</f>
        <v/>
      </c>
      <c r="S61" s="890"/>
      <c r="T61" s="890"/>
      <c r="U61" s="890"/>
      <c r="V61" s="252" t="s">
        <v>671</v>
      </c>
      <c r="W61" s="252" t="s">
        <v>3</v>
      </c>
    </row>
    <row r="62" spans="2:30" ht="12" customHeight="1" x14ac:dyDescent="0.15">
      <c r="D62" s="252" t="s">
        <v>697</v>
      </c>
      <c r="G62" s="252" t="s">
        <v>440</v>
      </c>
      <c r="I62" s="282" t="s">
        <v>2</v>
      </c>
      <c r="J62" s="887" t="str">
        <f>cst_wskakunin_KAISU_TIJYOU_SHINSEI</f>
        <v>1</v>
      </c>
      <c r="K62" s="887"/>
      <c r="L62" s="887"/>
      <c r="M62" s="887"/>
      <c r="N62" s="252" t="s">
        <v>441</v>
      </c>
      <c r="O62" s="252" t="s">
        <v>3</v>
      </c>
      <c r="Q62" s="282" t="s">
        <v>2</v>
      </c>
      <c r="R62" s="887" t="str">
        <f>cst_wskakunin_KAISU_TIJYOU_SONOTA</f>
        <v/>
      </c>
      <c r="S62" s="887"/>
      <c r="T62" s="887"/>
      <c r="U62" s="887"/>
      <c r="V62" s="252" t="s">
        <v>441</v>
      </c>
      <c r="W62" s="252" t="s">
        <v>3</v>
      </c>
    </row>
    <row r="63" spans="2:30" ht="12" customHeight="1" x14ac:dyDescent="0.15">
      <c r="G63" s="252" t="s">
        <v>442</v>
      </c>
      <c r="I63" s="282" t="s">
        <v>2</v>
      </c>
      <c r="J63" s="887" t="str">
        <f>cst_wskakunin_KAISU_TIKA_SHINSEI__zero</f>
        <v>0</v>
      </c>
      <c r="K63" s="887"/>
      <c r="L63" s="887"/>
      <c r="M63" s="887"/>
      <c r="N63" s="252" t="s">
        <v>441</v>
      </c>
      <c r="O63" s="252" t="s">
        <v>3</v>
      </c>
      <c r="Q63" s="282" t="s">
        <v>2</v>
      </c>
      <c r="R63" s="887" t="str">
        <f>cst_wskakunin_KAISU_TIKA_SONOTA</f>
        <v/>
      </c>
      <c r="S63" s="887"/>
      <c r="T63" s="887"/>
      <c r="U63" s="887"/>
      <c r="V63" s="252" t="s">
        <v>441</v>
      </c>
      <c r="W63" s="252" t="s">
        <v>3</v>
      </c>
    </row>
    <row r="64" spans="2:30" ht="12" customHeight="1" x14ac:dyDescent="0.15">
      <c r="D64" s="252" t="s">
        <v>698</v>
      </c>
      <c r="G64" s="252" t="s">
        <v>80</v>
      </c>
      <c r="I64" s="282" t="s">
        <v>2</v>
      </c>
      <c r="J64" s="871" t="str">
        <f>cst_wskakunin_KOUZOU1</f>
        <v>木造</v>
      </c>
      <c r="K64" s="871"/>
      <c r="L64" s="871"/>
      <c r="M64" s="871"/>
      <c r="O64" s="252" t="s">
        <v>3</v>
      </c>
      <c r="P64" s="282"/>
      <c r="Q64" s="282" t="s">
        <v>2</v>
      </c>
      <c r="R64" s="871" t="str">
        <f>cst_wskakunin_KOUZOU2</f>
        <v/>
      </c>
      <c r="S64" s="871"/>
      <c r="T64" s="871"/>
      <c r="U64" s="871"/>
      <c r="V64" s="871"/>
      <c r="W64" s="252" t="s">
        <v>3</v>
      </c>
    </row>
    <row r="65" spans="2:30" ht="12" customHeight="1" x14ac:dyDescent="0.15">
      <c r="D65" s="252" t="s">
        <v>699</v>
      </c>
      <c r="S65" s="240" t="str">
        <f>cst_wskakunin_TOKUREI_TAKASA_box_on</f>
        <v>□</v>
      </c>
      <c r="T65" s="252" t="s">
        <v>485</v>
      </c>
      <c r="V65" s="240" t="str">
        <f>cst_wskakunin_TOKUREI_TAKASA_box_off</f>
        <v>■</v>
      </c>
      <c r="W65" s="252" t="s">
        <v>2396</v>
      </c>
    </row>
    <row r="66" spans="2:30" ht="12" customHeight="1" x14ac:dyDescent="0.15">
      <c r="D66" s="252" t="s">
        <v>700</v>
      </c>
    </row>
    <row r="67" spans="2:30" ht="12" customHeight="1" x14ac:dyDescent="0.15">
      <c r="B67" s="258"/>
      <c r="C67" s="258"/>
      <c r="D67" s="258"/>
      <c r="E67" s="258"/>
      <c r="F67" s="280" t="str">
        <f>cst_wskakunin_TOKUREI_TAKASA_DOURO</f>
        <v>□</v>
      </c>
      <c r="G67" s="258" t="s">
        <v>2397</v>
      </c>
      <c r="H67" s="258"/>
      <c r="I67" s="258"/>
      <c r="J67" s="258"/>
      <c r="K67" s="258"/>
      <c r="L67" s="258"/>
      <c r="M67" s="280" t="str">
        <f>cst_wskakunin_TOKUREI_TAKASA_RINTI</f>
        <v>□</v>
      </c>
      <c r="N67" s="258" t="s">
        <v>1312</v>
      </c>
      <c r="O67" s="258"/>
      <c r="P67" s="258"/>
      <c r="Q67" s="258"/>
      <c r="R67" s="258"/>
      <c r="S67" s="258"/>
      <c r="T67" s="280" t="str">
        <f>cst_wskakunin_TOKUREI_TAKASA_KITA</f>
        <v>□</v>
      </c>
      <c r="U67" s="258" t="s">
        <v>1315</v>
      </c>
      <c r="V67" s="258"/>
      <c r="W67" s="258"/>
      <c r="X67" s="258"/>
      <c r="Y67" s="258"/>
      <c r="Z67" s="258"/>
      <c r="AA67" s="258"/>
      <c r="AB67" s="258"/>
      <c r="AC67" s="258"/>
      <c r="AD67" s="258"/>
    </row>
    <row r="68" spans="2:30" ht="12" customHeight="1" x14ac:dyDescent="0.15">
      <c r="C68" s="12" t="s">
        <v>701</v>
      </c>
      <c r="H68" s="855" t="str">
        <f>cst_wskakunin_kyoka_HOUREI_all</f>
        <v/>
      </c>
      <c r="I68" s="855"/>
      <c r="J68" s="855"/>
      <c r="K68" s="855"/>
      <c r="L68" s="855"/>
      <c r="M68" s="855"/>
      <c r="N68" s="855"/>
      <c r="O68" s="855"/>
      <c r="P68" s="855"/>
      <c r="Q68" s="855"/>
      <c r="R68" s="855"/>
      <c r="S68" s="855"/>
      <c r="T68" s="855"/>
      <c r="U68" s="855"/>
      <c r="V68" s="855"/>
      <c r="W68" s="855"/>
      <c r="X68" s="855"/>
      <c r="Y68" s="855"/>
      <c r="Z68" s="855"/>
      <c r="AA68" s="855"/>
      <c r="AB68" s="855"/>
      <c r="AC68" s="855"/>
      <c r="AD68" s="855"/>
    </row>
    <row r="69" spans="2:30" ht="11.1" customHeight="1" x14ac:dyDescent="0.15">
      <c r="H69" s="855"/>
      <c r="I69" s="855"/>
      <c r="J69" s="855"/>
      <c r="K69" s="855"/>
      <c r="L69" s="855"/>
      <c r="M69" s="855"/>
      <c r="N69" s="855"/>
      <c r="O69" s="855"/>
      <c r="P69" s="855"/>
      <c r="Q69" s="855"/>
      <c r="R69" s="855"/>
      <c r="S69" s="855"/>
      <c r="T69" s="855"/>
      <c r="U69" s="855"/>
      <c r="V69" s="855"/>
      <c r="W69" s="855"/>
      <c r="X69" s="855"/>
      <c r="Y69" s="855"/>
      <c r="Z69" s="855"/>
      <c r="AA69" s="855"/>
      <c r="AB69" s="855"/>
      <c r="AC69" s="855"/>
      <c r="AD69" s="855"/>
    </row>
    <row r="70" spans="2:30" ht="11.1" customHeight="1" x14ac:dyDescent="0.15">
      <c r="H70" s="855"/>
      <c r="I70" s="855"/>
      <c r="J70" s="855"/>
      <c r="K70" s="855"/>
      <c r="L70" s="855"/>
      <c r="M70" s="855"/>
      <c r="N70" s="855"/>
      <c r="O70" s="855"/>
      <c r="P70" s="855"/>
      <c r="Q70" s="855"/>
      <c r="R70" s="855"/>
      <c r="S70" s="855"/>
      <c r="T70" s="855"/>
      <c r="U70" s="855"/>
      <c r="V70" s="855"/>
      <c r="W70" s="855"/>
      <c r="X70" s="855"/>
      <c r="Y70" s="855"/>
      <c r="Z70" s="855"/>
      <c r="AA70" s="855"/>
      <c r="AB70" s="855"/>
      <c r="AC70" s="855"/>
      <c r="AD70" s="855"/>
    </row>
    <row r="71" spans="2:30" ht="12" customHeight="1" x14ac:dyDescent="0.15">
      <c r="B71" s="268"/>
      <c r="C71" s="269" t="s">
        <v>702</v>
      </c>
      <c r="D71" s="268"/>
      <c r="E71" s="268"/>
      <c r="F71" s="268"/>
      <c r="G71" s="268"/>
      <c r="H71" s="268"/>
      <c r="I71" s="268"/>
      <c r="J71" s="888">
        <f>cst_wskakunin_KOUJI_TYAKUSYU_YOTEI_DATE</f>
        <v>45703</v>
      </c>
      <c r="K71" s="888"/>
      <c r="L71" s="888"/>
      <c r="M71" s="888"/>
      <c r="N71" s="888"/>
      <c r="O71" s="888"/>
      <c r="P71" s="888"/>
      <c r="Q71" s="888"/>
      <c r="R71" s="268"/>
      <c r="S71" s="268"/>
      <c r="T71" s="268"/>
      <c r="U71" s="268"/>
      <c r="V71" s="268"/>
      <c r="W71" s="268"/>
      <c r="X71" s="268"/>
      <c r="Y71" s="268"/>
      <c r="Z71" s="268"/>
      <c r="AA71" s="268"/>
      <c r="AB71" s="268"/>
      <c r="AC71" s="268"/>
      <c r="AD71" s="268"/>
    </row>
    <row r="72" spans="2:30" ht="12" customHeight="1" x14ac:dyDescent="0.15">
      <c r="B72" s="268"/>
      <c r="C72" s="269" t="s">
        <v>703</v>
      </c>
      <c r="D72" s="268"/>
      <c r="E72" s="268"/>
      <c r="F72" s="268"/>
      <c r="G72" s="268"/>
      <c r="H72" s="268"/>
      <c r="I72" s="268"/>
      <c r="J72" s="888">
        <f>cst_wskakunin_KOUJI_KANRYOU_YOTEI_DATE</f>
        <v>45899</v>
      </c>
      <c r="K72" s="888"/>
      <c r="L72" s="888"/>
      <c r="M72" s="888"/>
      <c r="N72" s="888"/>
      <c r="O72" s="888"/>
      <c r="P72" s="888"/>
      <c r="Q72" s="888"/>
      <c r="R72" s="268"/>
      <c r="S72" s="268"/>
      <c r="T72" s="268"/>
      <c r="U72" s="268"/>
      <c r="V72" s="268"/>
      <c r="W72" s="268"/>
      <c r="X72" s="268"/>
      <c r="Y72" s="268"/>
      <c r="Z72" s="268"/>
      <c r="AA72" s="268"/>
      <c r="AB72" s="268"/>
      <c r="AC72" s="268"/>
      <c r="AD72" s="268"/>
    </row>
    <row r="73" spans="2:30" ht="12" customHeight="1" x14ac:dyDescent="0.15">
      <c r="C73" s="12" t="s">
        <v>704</v>
      </c>
      <c r="P73" s="282" t="s">
        <v>2</v>
      </c>
      <c r="Q73" s="882" t="s">
        <v>705</v>
      </c>
      <c r="R73" s="882"/>
      <c r="S73" s="882"/>
      <c r="T73" s="882"/>
      <c r="U73" s="882"/>
      <c r="V73" s="882"/>
      <c r="W73" s="882"/>
      <c r="X73" s="882"/>
      <c r="Y73" s="882"/>
      <c r="Z73" s="882"/>
      <c r="AA73" s="882"/>
      <c r="AB73" s="882"/>
      <c r="AC73" s="252" t="s">
        <v>3</v>
      </c>
    </row>
    <row r="74" spans="2:30" ht="12" customHeight="1" x14ac:dyDescent="0.15">
      <c r="E74" s="282" t="s">
        <v>706</v>
      </c>
      <c r="F74" s="188">
        <f>cst_wskakunin_koutei01_KOUTEI_KAISUU</f>
        <v>1</v>
      </c>
      <c r="G74" s="252" t="s">
        <v>707</v>
      </c>
      <c r="J74" s="895">
        <f>cst_wskakunin_koutei01_KOUTEI_DATE</f>
        <v>45736</v>
      </c>
      <c r="K74" s="895"/>
      <c r="L74" s="895"/>
      <c r="M74" s="895"/>
      <c r="N74" s="895"/>
      <c r="P74" s="282" t="s">
        <v>2</v>
      </c>
      <c r="Q74" s="870" t="str">
        <f>cst_wskakunin_koutei01_KOUTEI_TEXT</f>
        <v>軸組みの工事及び当該軸組の部材を緊結する工事</v>
      </c>
      <c r="R74" s="870"/>
      <c r="S74" s="870"/>
      <c r="T74" s="870"/>
      <c r="U74" s="870"/>
      <c r="V74" s="870"/>
      <c r="W74" s="870"/>
      <c r="X74" s="870"/>
      <c r="Y74" s="870"/>
      <c r="Z74" s="870"/>
      <c r="AA74" s="870"/>
      <c r="AB74" s="870"/>
      <c r="AC74" s="252" t="s">
        <v>3</v>
      </c>
    </row>
    <row r="75" spans="2:30" ht="12" customHeight="1" x14ac:dyDescent="0.15">
      <c r="E75" s="282" t="s">
        <v>706</v>
      </c>
      <c r="F75" s="188" t="str">
        <f>cst_wskakunin_koutei02_KOUTEI_KAISUU</f>
        <v/>
      </c>
      <c r="G75" s="252" t="s">
        <v>707</v>
      </c>
      <c r="J75" s="895" t="str">
        <f>cst_wskakunin_koutei02_KOUTEI_DATE</f>
        <v/>
      </c>
      <c r="K75" s="895"/>
      <c r="L75" s="895"/>
      <c r="M75" s="895"/>
      <c r="N75" s="895"/>
      <c r="P75" s="282" t="s">
        <v>2</v>
      </c>
      <c r="Q75" s="870" t="str">
        <f>cst_wskakunin_koutei02_KOUTEI_TEXT</f>
        <v/>
      </c>
      <c r="R75" s="870"/>
      <c r="S75" s="870"/>
      <c r="T75" s="870"/>
      <c r="U75" s="870"/>
      <c r="V75" s="870"/>
      <c r="W75" s="870"/>
      <c r="X75" s="870"/>
      <c r="Y75" s="870"/>
      <c r="Z75" s="870"/>
      <c r="AA75" s="870"/>
      <c r="AB75" s="870"/>
      <c r="AC75" s="252" t="s">
        <v>3</v>
      </c>
    </row>
    <row r="76" spans="2:30" ht="12" customHeight="1" x14ac:dyDescent="0.15">
      <c r="B76" s="258"/>
      <c r="C76" s="258"/>
      <c r="D76" s="258"/>
      <c r="E76" s="281" t="s">
        <v>706</v>
      </c>
      <c r="F76" s="284" t="str">
        <f>cst_wskakunin_koutei03_KOUTEI_KAISUU</f>
        <v/>
      </c>
      <c r="G76" s="258" t="s">
        <v>707</v>
      </c>
      <c r="H76" s="258"/>
      <c r="I76" s="258"/>
      <c r="J76" s="891" t="str">
        <f>cst_wskakunin_koutei03_KOUTEI_DATE</f>
        <v/>
      </c>
      <c r="K76" s="891"/>
      <c r="L76" s="891"/>
      <c r="M76" s="891"/>
      <c r="N76" s="891"/>
      <c r="O76" s="258"/>
      <c r="P76" s="281" t="s">
        <v>2</v>
      </c>
      <c r="Q76" s="892" t="str">
        <f>cst_wskakunin_koutei03_KOUTEI_TEXT</f>
        <v/>
      </c>
      <c r="R76" s="892"/>
      <c r="S76" s="892"/>
      <c r="T76" s="892"/>
      <c r="U76" s="892"/>
      <c r="V76" s="892"/>
      <c r="W76" s="892"/>
      <c r="X76" s="892"/>
      <c r="Y76" s="892"/>
      <c r="Z76" s="892"/>
      <c r="AA76" s="892"/>
      <c r="AB76" s="892"/>
      <c r="AC76" s="258" t="s">
        <v>3</v>
      </c>
      <c r="AD76" s="258"/>
    </row>
    <row r="77" spans="2:30" ht="12" customHeight="1" x14ac:dyDescent="0.15">
      <c r="C77" s="271" t="s">
        <v>2948</v>
      </c>
      <c r="I77" s="285"/>
      <c r="J77" s="285"/>
      <c r="K77" s="285"/>
      <c r="L77" s="285"/>
      <c r="M77" s="285"/>
      <c r="N77" s="285"/>
      <c r="O77" s="285"/>
      <c r="P77" s="285"/>
      <c r="Q77" s="285"/>
      <c r="R77" s="285"/>
      <c r="S77" s="285"/>
      <c r="T77" s="285"/>
      <c r="U77" s="285"/>
      <c r="V77" s="285"/>
      <c r="W77" s="285"/>
      <c r="X77" s="285"/>
      <c r="Y77" s="285"/>
      <c r="Z77" s="285"/>
      <c r="AA77" s="285"/>
      <c r="AB77" s="285"/>
      <c r="AC77" s="285"/>
      <c r="AD77" s="285"/>
    </row>
    <row r="78" spans="2:30" ht="11.1" customHeight="1" x14ac:dyDescent="0.15">
      <c r="B78" s="258"/>
      <c r="C78" s="258"/>
      <c r="D78" s="258"/>
      <c r="E78" s="258"/>
      <c r="F78" s="334" t="str">
        <f>cst_wskakunin_KITEI_CHOUSA_FLAG_box_on</f>
        <v>□</v>
      </c>
      <c r="G78" s="258" t="s">
        <v>2949</v>
      </c>
      <c r="H78" s="258"/>
      <c r="I78" s="335"/>
      <c r="J78" s="336" t="str">
        <f>cst_wskakunin_KITEI_CHOUSA_FLAG_box_off</f>
        <v>■</v>
      </c>
      <c r="K78" s="335" t="s">
        <v>2950</v>
      </c>
      <c r="L78" s="335"/>
      <c r="M78" s="335"/>
      <c r="N78" s="335"/>
      <c r="O78" s="335"/>
      <c r="P78" s="335"/>
      <c r="Q78" s="335"/>
      <c r="R78" s="335"/>
      <c r="S78" s="335"/>
      <c r="T78" s="335"/>
      <c r="U78" s="335"/>
      <c r="V78" s="335"/>
      <c r="W78" s="335"/>
      <c r="X78" s="335"/>
      <c r="Y78" s="335"/>
      <c r="Z78" s="335"/>
      <c r="AA78" s="335"/>
      <c r="AB78" s="335"/>
      <c r="AC78" s="335"/>
      <c r="AD78" s="335"/>
    </row>
    <row r="79" spans="2:30" ht="12" customHeight="1" x14ac:dyDescent="0.15">
      <c r="C79" s="271" t="s">
        <v>2945</v>
      </c>
      <c r="I79" s="285"/>
      <c r="J79" s="285"/>
      <c r="K79" s="285"/>
      <c r="L79" s="285"/>
      <c r="M79" s="285"/>
      <c r="N79" s="285"/>
      <c r="O79" s="285"/>
      <c r="P79" s="285"/>
      <c r="Q79" s="285"/>
      <c r="R79" s="285"/>
      <c r="S79" s="285"/>
      <c r="T79" s="285"/>
      <c r="U79" s="285"/>
      <c r="V79" s="285"/>
      <c r="W79" s="285"/>
      <c r="X79" s="285"/>
      <c r="Y79" s="285"/>
      <c r="Z79" s="285"/>
      <c r="AA79" s="285"/>
      <c r="AB79" s="285"/>
      <c r="AC79" s="285"/>
      <c r="AD79" s="285"/>
    </row>
    <row r="80" spans="2:30" ht="11.1" customHeight="1" x14ac:dyDescent="0.15">
      <c r="B80" s="258"/>
      <c r="F80" s="286" t="str">
        <f>cst_wskakunin_BOUKA_SETUBI_FLAG_box_on</f>
        <v>□</v>
      </c>
      <c r="G80" s="252" t="s">
        <v>485</v>
      </c>
      <c r="I80" s="285"/>
      <c r="J80" s="287" t="str">
        <f>cst_wskakunin_BOUKA_SETUBI_FLAG_box_off</f>
        <v>■</v>
      </c>
      <c r="K80" s="285" t="s">
        <v>2396</v>
      </c>
      <c r="L80" s="285"/>
      <c r="M80" s="285"/>
      <c r="N80" s="285"/>
      <c r="O80" s="285"/>
      <c r="P80" s="285"/>
      <c r="Q80" s="285"/>
      <c r="R80" s="285"/>
      <c r="S80" s="285"/>
      <c r="T80" s="285"/>
      <c r="U80" s="285"/>
      <c r="V80" s="285"/>
      <c r="W80" s="285"/>
      <c r="X80" s="285"/>
      <c r="Y80" s="285"/>
      <c r="Z80" s="285"/>
      <c r="AA80" s="285"/>
      <c r="AB80" s="285"/>
      <c r="AC80" s="285"/>
      <c r="AD80" s="285"/>
    </row>
    <row r="81" spans="2:30" ht="12" customHeight="1" x14ac:dyDescent="0.15">
      <c r="C81" s="288" t="s">
        <v>2946</v>
      </c>
      <c r="D81" s="276"/>
      <c r="E81" s="276"/>
      <c r="F81" s="276"/>
      <c r="G81" s="276"/>
      <c r="H81" s="276"/>
      <c r="I81" s="893" t="str">
        <f>cst_wskakunin_P3_SONOTA</f>
        <v/>
      </c>
      <c r="J81" s="893"/>
      <c r="K81" s="893"/>
      <c r="L81" s="893"/>
      <c r="M81" s="893"/>
      <c r="N81" s="893"/>
      <c r="O81" s="893"/>
      <c r="P81" s="893"/>
      <c r="Q81" s="893"/>
      <c r="R81" s="893"/>
      <c r="S81" s="893"/>
      <c r="T81" s="893"/>
      <c r="U81" s="893"/>
      <c r="V81" s="893"/>
      <c r="W81" s="893"/>
      <c r="X81" s="893"/>
      <c r="Y81" s="893"/>
      <c r="Z81" s="893"/>
      <c r="AA81" s="893"/>
      <c r="AB81" s="893"/>
      <c r="AC81" s="893"/>
      <c r="AD81" s="893"/>
    </row>
    <row r="82" spans="2:30" ht="11.1" customHeight="1" x14ac:dyDescent="0.15">
      <c r="I82" s="855"/>
      <c r="J82" s="855"/>
      <c r="K82" s="855"/>
      <c r="L82" s="855"/>
      <c r="M82" s="855"/>
      <c r="N82" s="855"/>
      <c r="O82" s="855"/>
      <c r="P82" s="855"/>
      <c r="Q82" s="855"/>
      <c r="R82" s="855"/>
      <c r="S82" s="855"/>
      <c r="T82" s="855"/>
      <c r="U82" s="855"/>
      <c r="V82" s="855"/>
      <c r="W82" s="855"/>
      <c r="X82" s="855"/>
      <c r="Y82" s="855"/>
      <c r="Z82" s="855"/>
      <c r="AA82" s="855"/>
      <c r="AB82" s="855"/>
      <c r="AC82" s="855"/>
      <c r="AD82" s="855"/>
    </row>
    <row r="83" spans="2:30" x14ac:dyDescent="0.15">
      <c r="B83" s="276"/>
      <c r="C83" s="276" t="s">
        <v>2947</v>
      </c>
      <c r="D83" s="276"/>
      <c r="E83" s="276"/>
      <c r="F83" s="276"/>
      <c r="G83" s="276"/>
      <c r="H83" s="276"/>
      <c r="I83" s="894" t="str">
        <f>cst_wskakunin_P3_BIKOU</f>
        <v/>
      </c>
      <c r="J83" s="894"/>
      <c r="K83" s="894"/>
      <c r="L83" s="894"/>
      <c r="M83" s="894"/>
      <c r="N83" s="894"/>
      <c r="O83" s="894"/>
      <c r="P83" s="894"/>
      <c r="Q83" s="894"/>
      <c r="R83" s="894"/>
      <c r="S83" s="894"/>
      <c r="T83" s="894"/>
      <c r="U83" s="894"/>
      <c r="V83" s="894"/>
      <c r="W83" s="894"/>
      <c r="X83" s="894"/>
      <c r="Y83" s="894"/>
      <c r="Z83" s="894"/>
      <c r="AA83" s="894"/>
      <c r="AB83" s="894"/>
      <c r="AC83" s="894"/>
      <c r="AD83" s="894"/>
    </row>
    <row r="84" spans="2:30" x14ac:dyDescent="0.15">
      <c r="I84" s="861"/>
      <c r="J84" s="861"/>
      <c r="K84" s="861"/>
      <c r="L84" s="861"/>
      <c r="M84" s="861"/>
      <c r="N84" s="861"/>
      <c r="O84" s="861"/>
      <c r="P84" s="861"/>
      <c r="Q84" s="861"/>
      <c r="R84" s="861"/>
      <c r="S84" s="861"/>
      <c r="T84" s="861"/>
      <c r="U84" s="861"/>
      <c r="V84" s="861"/>
      <c r="W84" s="861"/>
      <c r="X84" s="861"/>
      <c r="Y84" s="861"/>
      <c r="Z84" s="861"/>
      <c r="AA84" s="861"/>
      <c r="AB84" s="861"/>
      <c r="AC84" s="861"/>
      <c r="AD84" s="861"/>
    </row>
    <row r="85" spans="2:30" x14ac:dyDescent="0.15">
      <c r="I85" s="861"/>
      <c r="J85" s="861"/>
      <c r="K85" s="861"/>
      <c r="L85" s="861"/>
      <c r="M85" s="861"/>
      <c r="N85" s="861"/>
      <c r="O85" s="861"/>
      <c r="P85" s="861"/>
      <c r="Q85" s="861"/>
      <c r="R85" s="861"/>
      <c r="S85" s="861"/>
      <c r="T85" s="861"/>
      <c r="U85" s="861"/>
      <c r="V85" s="861"/>
      <c r="W85" s="861"/>
      <c r="X85" s="861"/>
      <c r="Y85" s="861"/>
      <c r="Z85" s="861"/>
      <c r="AA85" s="861"/>
      <c r="AB85" s="861"/>
      <c r="AC85" s="861"/>
      <c r="AD85" s="861"/>
    </row>
  </sheetData>
  <mergeCells count="118">
    <mergeCell ref="J76:N76"/>
    <mergeCell ref="Q76:AB76"/>
    <mergeCell ref="I81:AD82"/>
    <mergeCell ref="I83:AD85"/>
    <mergeCell ref="J72:Q72"/>
    <mergeCell ref="Q73:AB73"/>
    <mergeCell ref="J74:N74"/>
    <mergeCell ref="Q74:AB74"/>
    <mergeCell ref="J75:N75"/>
    <mergeCell ref="Q75:AB75"/>
    <mergeCell ref="J63:M63"/>
    <mergeCell ref="R63:U63"/>
    <mergeCell ref="J64:M64"/>
    <mergeCell ref="R64:V64"/>
    <mergeCell ref="H68:AD70"/>
    <mergeCell ref="J71:Q71"/>
    <mergeCell ref="M59:N59"/>
    <mergeCell ref="J60:N60"/>
    <mergeCell ref="R60:V60"/>
    <mergeCell ref="J61:M61"/>
    <mergeCell ref="R61:U61"/>
    <mergeCell ref="J62:M62"/>
    <mergeCell ref="R62:U62"/>
    <mergeCell ref="M54:O54"/>
    <mergeCell ref="S54:V54"/>
    <mergeCell ref="Z54:AB54"/>
    <mergeCell ref="M55:O55"/>
    <mergeCell ref="M56:O56"/>
    <mergeCell ref="M58:N58"/>
    <mergeCell ref="M51:O51"/>
    <mergeCell ref="S51:V51"/>
    <mergeCell ref="Z51:AB51"/>
    <mergeCell ref="M53:O53"/>
    <mergeCell ref="S53:V53"/>
    <mergeCell ref="Z53:AB53"/>
    <mergeCell ref="M52:O52"/>
    <mergeCell ref="S52:V52"/>
    <mergeCell ref="Z52:AB52"/>
    <mergeCell ref="M49:O49"/>
    <mergeCell ref="S49:V49"/>
    <mergeCell ref="Z49:AB49"/>
    <mergeCell ref="M50:O50"/>
    <mergeCell ref="S50:V50"/>
    <mergeCell ref="Z50:AB50"/>
    <mergeCell ref="M47:O47"/>
    <mergeCell ref="S47:V47"/>
    <mergeCell ref="Z47:AB47"/>
    <mergeCell ref="M48:O48"/>
    <mergeCell ref="S48:V48"/>
    <mergeCell ref="Z48:AB48"/>
    <mergeCell ref="M44:O44"/>
    <mergeCell ref="S44:V44"/>
    <mergeCell ref="Z44:AB44"/>
    <mergeCell ref="M46:O46"/>
    <mergeCell ref="S46:V46"/>
    <mergeCell ref="Z46:AB46"/>
    <mergeCell ref="M41:O41"/>
    <mergeCell ref="S41:V41"/>
    <mergeCell ref="Z41:AB41"/>
    <mergeCell ref="M42:O42"/>
    <mergeCell ref="S42:V42"/>
    <mergeCell ref="Z42:AB42"/>
    <mergeCell ref="M45:O45"/>
    <mergeCell ref="S45:V45"/>
    <mergeCell ref="Z45:AB45"/>
    <mergeCell ref="M37:O37"/>
    <mergeCell ref="M38:P38"/>
    <mergeCell ref="S38:W38"/>
    <mergeCell ref="Z38:AC38"/>
    <mergeCell ref="M39:O39"/>
    <mergeCell ref="S39:V39"/>
    <mergeCell ref="Z39:AB39"/>
    <mergeCell ref="M30:AD30"/>
    <mergeCell ref="M33:P33"/>
    <mergeCell ref="S33:W33"/>
    <mergeCell ref="Z33:AC33"/>
    <mergeCell ref="M34:O34"/>
    <mergeCell ref="S34:V34"/>
    <mergeCell ref="Z34:AB34"/>
    <mergeCell ref="M36:O36"/>
    <mergeCell ref="S36:V36"/>
    <mergeCell ref="Z36:AB36"/>
    <mergeCell ref="Q25:S25"/>
    <mergeCell ref="T25:U25"/>
    <mergeCell ref="Q26:S26"/>
    <mergeCell ref="T26:U26"/>
    <mergeCell ref="H27:AD28"/>
    <mergeCell ref="F29:G29"/>
    <mergeCell ref="H29:K29"/>
    <mergeCell ref="M29:AD29"/>
    <mergeCell ref="I22:K22"/>
    <mergeCell ref="N22:P22"/>
    <mergeCell ref="S22:U22"/>
    <mergeCell ref="X22:Z22"/>
    <mergeCell ref="J23:L23"/>
    <mergeCell ref="J24:L24"/>
    <mergeCell ref="I20:K20"/>
    <mergeCell ref="N20:P20"/>
    <mergeCell ref="S20:U20"/>
    <mergeCell ref="X20:Z20"/>
    <mergeCell ref="I16:K16"/>
    <mergeCell ref="N16:P16"/>
    <mergeCell ref="S16:U16"/>
    <mergeCell ref="X16:Z16"/>
    <mergeCell ref="I17:K17"/>
    <mergeCell ref="N17:P17"/>
    <mergeCell ref="S17:U17"/>
    <mergeCell ref="X17:Z17"/>
    <mergeCell ref="C1:AD1"/>
    <mergeCell ref="G3:AD3"/>
    <mergeCell ref="G4:AD4"/>
    <mergeCell ref="G10:AD11"/>
    <mergeCell ref="M13:O13"/>
    <mergeCell ref="M14:O14"/>
    <mergeCell ref="I18:L18"/>
    <mergeCell ref="N18:Q18"/>
    <mergeCell ref="S18:V18"/>
    <mergeCell ref="X18:AA18"/>
  </mergeCells>
  <phoneticPr fontId="32"/>
  <printOptions horizontalCentered="1"/>
  <pageMargins left="0.59055118110236227" right="0.59055118110236227" top="0.39370078740157483" bottom="0.39370078740157483" header="0" footer="0.19685039370078741"/>
  <pageSetup paperSize="9" scale="84" fitToHeight="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E1:G58"/>
  <sheetViews>
    <sheetView topLeftCell="A48" workbookViewId="0">
      <selection activeCell="G59" sqref="G59"/>
    </sheetView>
  </sheetViews>
  <sheetFormatPr defaultColWidth="9" defaultRowHeight="18.75" customHeight="1" x14ac:dyDescent="0.15"/>
  <cols>
    <col min="1" max="3" width="2.75" style="14" customWidth="1"/>
    <col min="4" max="4" width="4.125" style="14" customWidth="1"/>
    <col min="5" max="5" width="23.5" style="187" customWidth="1"/>
    <col min="6" max="6" width="9" style="14" customWidth="1"/>
    <col min="7" max="7" width="50.625" style="14" customWidth="1"/>
    <col min="8" max="8" width="9" style="14" customWidth="1"/>
    <col min="9" max="16384" width="9" style="14"/>
  </cols>
  <sheetData>
    <row r="1" spans="5:7" ht="18.75" customHeight="1" x14ac:dyDescent="0.15">
      <c r="E1" s="187" t="s">
        <v>2570</v>
      </c>
      <c r="G1" s="115" t="s">
        <v>2571</v>
      </c>
    </row>
    <row r="2" spans="5:7" ht="18.75" customHeight="1" x14ac:dyDescent="0.15">
      <c r="E2" s="187">
        <v>43699</v>
      </c>
      <c r="F2" s="14" t="s">
        <v>2572</v>
      </c>
      <c r="G2" s="14" t="s">
        <v>2573</v>
      </c>
    </row>
    <row r="3" spans="5:7" ht="18.75" customHeight="1" x14ac:dyDescent="0.15">
      <c r="G3" s="14" t="s">
        <v>2615</v>
      </c>
    </row>
    <row r="4" spans="5:7" ht="18.75" customHeight="1" x14ac:dyDescent="0.15">
      <c r="E4" s="187">
        <v>43700</v>
      </c>
      <c r="F4" s="14" t="s">
        <v>2572</v>
      </c>
      <c r="G4" s="14" t="s">
        <v>2634</v>
      </c>
    </row>
    <row r="5" spans="5:7" ht="18.75" customHeight="1" x14ac:dyDescent="0.15">
      <c r="E5" s="187">
        <v>43703</v>
      </c>
      <c r="F5" s="14" t="s">
        <v>2572</v>
      </c>
      <c r="G5" s="14" t="s">
        <v>2635</v>
      </c>
    </row>
    <row r="6" spans="5:7" ht="18.75" customHeight="1" x14ac:dyDescent="0.15">
      <c r="E6" s="187">
        <v>43710</v>
      </c>
      <c r="F6" s="14" t="s">
        <v>2572</v>
      </c>
      <c r="G6" s="14" t="s">
        <v>2667</v>
      </c>
    </row>
    <row r="7" spans="5:7" ht="18.75" customHeight="1" x14ac:dyDescent="0.15">
      <c r="E7" s="187">
        <v>43711</v>
      </c>
      <c r="F7" s="14" t="s">
        <v>2572</v>
      </c>
      <c r="G7" s="14" t="s">
        <v>2670</v>
      </c>
    </row>
    <row r="8" spans="5:7" ht="18.75" customHeight="1" x14ac:dyDescent="0.15">
      <c r="E8" s="187">
        <v>43712</v>
      </c>
      <c r="F8" s="14" t="s">
        <v>2572</v>
      </c>
      <c r="G8" s="14" t="s">
        <v>2719</v>
      </c>
    </row>
    <row r="9" spans="5:7" ht="18.75" customHeight="1" x14ac:dyDescent="0.15">
      <c r="E9" s="187">
        <v>43734</v>
      </c>
      <c r="F9" s="14" t="s">
        <v>2721</v>
      </c>
      <c r="G9" s="14" t="s">
        <v>2720</v>
      </c>
    </row>
    <row r="10" spans="5:7" ht="18.75" customHeight="1" x14ac:dyDescent="0.15">
      <c r="E10" s="187">
        <v>43822</v>
      </c>
      <c r="F10" s="14" t="s">
        <v>2572</v>
      </c>
      <c r="G10" s="14" t="s">
        <v>2722</v>
      </c>
    </row>
    <row r="12" spans="5:7" ht="18.75" customHeight="1" x14ac:dyDescent="0.15">
      <c r="E12" s="187">
        <v>43949</v>
      </c>
      <c r="F12" s="14" t="s">
        <v>2857</v>
      </c>
      <c r="G12" s="14" t="s">
        <v>2858</v>
      </c>
    </row>
    <row r="13" spans="5:7" ht="18.75" customHeight="1" x14ac:dyDescent="0.15">
      <c r="E13" s="187">
        <v>43951</v>
      </c>
      <c r="F13" s="14" t="s">
        <v>2857</v>
      </c>
      <c r="G13" s="14" t="s">
        <v>2859</v>
      </c>
    </row>
    <row r="15" spans="5:7" ht="18.75" customHeight="1" x14ac:dyDescent="0.15">
      <c r="E15" s="187">
        <v>43970</v>
      </c>
      <c r="F15" s="14" t="s">
        <v>2572</v>
      </c>
      <c r="G15" s="14" t="s">
        <v>2860</v>
      </c>
    </row>
    <row r="16" spans="5:7" ht="18.75" customHeight="1" x14ac:dyDescent="0.15">
      <c r="E16" s="187">
        <v>43983</v>
      </c>
      <c r="F16" s="14" t="s">
        <v>2857</v>
      </c>
      <c r="G16" s="14" t="s">
        <v>2861</v>
      </c>
    </row>
    <row r="17" spans="5:7" ht="18.75" customHeight="1" x14ac:dyDescent="0.15">
      <c r="E17" s="187">
        <v>43991</v>
      </c>
      <c r="F17" s="14" t="s">
        <v>2721</v>
      </c>
      <c r="G17" s="14" t="s">
        <v>2862</v>
      </c>
    </row>
    <row r="18" spans="5:7" ht="18.75" customHeight="1" x14ac:dyDescent="0.15">
      <c r="E18" s="187">
        <v>43992</v>
      </c>
      <c r="F18" s="14" t="s">
        <v>2572</v>
      </c>
      <c r="G18" s="14" t="s">
        <v>2877</v>
      </c>
    </row>
    <row r="19" spans="5:7" ht="18.75" customHeight="1" x14ac:dyDescent="0.15">
      <c r="E19" s="187">
        <v>43997</v>
      </c>
      <c r="F19" s="14" t="s">
        <v>2572</v>
      </c>
      <c r="G19" s="14" t="s">
        <v>2879</v>
      </c>
    </row>
    <row r="21" spans="5:7" ht="18.75" customHeight="1" x14ac:dyDescent="0.15">
      <c r="E21" s="328">
        <v>44048</v>
      </c>
      <c r="F21" s="329" t="s">
        <v>2721</v>
      </c>
      <c r="G21" s="329" t="s">
        <v>2880</v>
      </c>
    </row>
    <row r="23" spans="5:7" ht="18.75" customHeight="1" x14ac:dyDescent="0.15">
      <c r="E23" s="187">
        <v>44048</v>
      </c>
      <c r="F23" s="14" t="s">
        <v>2721</v>
      </c>
      <c r="G23" s="14" t="s">
        <v>2881</v>
      </c>
    </row>
    <row r="24" spans="5:7" ht="18.75" customHeight="1" x14ac:dyDescent="0.15">
      <c r="E24" s="187">
        <v>44049</v>
      </c>
      <c r="F24" s="14" t="s">
        <v>2721</v>
      </c>
      <c r="G24" s="14" t="s">
        <v>2882</v>
      </c>
    </row>
    <row r="25" spans="5:7" ht="18.75" customHeight="1" x14ac:dyDescent="0.15">
      <c r="E25" s="187">
        <v>44049</v>
      </c>
      <c r="F25" s="14" t="s">
        <v>2721</v>
      </c>
      <c r="G25" s="14" t="s">
        <v>2883</v>
      </c>
    </row>
    <row r="26" spans="5:7" ht="18.75" customHeight="1" x14ac:dyDescent="0.15">
      <c r="E26" s="187">
        <v>44174</v>
      </c>
      <c r="F26" s="14" t="s">
        <v>2857</v>
      </c>
      <c r="G26" s="14" t="s">
        <v>2885</v>
      </c>
    </row>
    <row r="27" spans="5:7" ht="18.75" customHeight="1" x14ac:dyDescent="0.15">
      <c r="E27" s="187">
        <v>44183</v>
      </c>
      <c r="F27" s="14" t="s">
        <v>2721</v>
      </c>
      <c r="G27" s="14" t="s">
        <v>2886</v>
      </c>
    </row>
    <row r="28" spans="5:7" ht="18.75" customHeight="1" x14ac:dyDescent="0.15">
      <c r="E28" s="187">
        <v>44189</v>
      </c>
      <c r="F28" s="14" t="s">
        <v>2887</v>
      </c>
      <c r="G28" s="14" t="s">
        <v>2888</v>
      </c>
    </row>
    <row r="29" spans="5:7" ht="18.75" customHeight="1" x14ac:dyDescent="0.15">
      <c r="E29" s="187">
        <v>44224</v>
      </c>
      <c r="F29" s="14" t="s">
        <v>2889</v>
      </c>
      <c r="G29" s="14" t="s">
        <v>2890</v>
      </c>
    </row>
    <row r="30" spans="5:7" ht="18.75" customHeight="1" x14ac:dyDescent="0.15">
      <c r="E30" s="187">
        <v>44251</v>
      </c>
      <c r="F30" s="14" t="s">
        <v>2857</v>
      </c>
      <c r="G30" s="14" t="s">
        <v>2933</v>
      </c>
    </row>
    <row r="31" spans="5:7" ht="18.75" customHeight="1" x14ac:dyDescent="0.15">
      <c r="E31" s="187">
        <v>44467</v>
      </c>
      <c r="F31" s="14" t="s">
        <v>2572</v>
      </c>
      <c r="G31" s="14" t="s">
        <v>2938</v>
      </c>
    </row>
    <row r="32" spans="5:7" ht="18.75" customHeight="1" x14ac:dyDescent="0.15">
      <c r="E32" s="187">
        <v>44473</v>
      </c>
      <c r="F32" s="14" t="s">
        <v>2572</v>
      </c>
      <c r="G32" s="14" t="s">
        <v>2939</v>
      </c>
    </row>
    <row r="33" spans="5:7" ht="18.75" customHeight="1" x14ac:dyDescent="0.15">
      <c r="E33" s="187">
        <v>44643</v>
      </c>
      <c r="F33" s="14" t="s">
        <v>2572</v>
      </c>
      <c r="G33" s="14" t="s">
        <v>2971</v>
      </c>
    </row>
    <row r="35" spans="5:7" ht="18.75" customHeight="1" x14ac:dyDescent="0.15">
      <c r="E35" s="187">
        <v>44643</v>
      </c>
      <c r="F35" s="14" t="s">
        <v>2721</v>
      </c>
      <c r="G35" s="14" t="s">
        <v>2972</v>
      </c>
    </row>
    <row r="36" spans="5:7" ht="18.75" customHeight="1" x14ac:dyDescent="0.15">
      <c r="G36" s="14" t="s">
        <v>2973</v>
      </c>
    </row>
    <row r="38" spans="5:7" ht="18.75" customHeight="1" x14ac:dyDescent="0.15">
      <c r="E38" s="187">
        <v>44824</v>
      </c>
      <c r="F38" s="14" t="s">
        <v>2721</v>
      </c>
      <c r="G38" s="14" t="s">
        <v>2982</v>
      </c>
    </row>
    <row r="39" spans="5:7" ht="18.75" customHeight="1" x14ac:dyDescent="0.15">
      <c r="E39" s="187">
        <v>44831</v>
      </c>
      <c r="F39" s="14" t="s">
        <v>2721</v>
      </c>
      <c r="G39" s="14" t="s">
        <v>2983</v>
      </c>
    </row>
    <row r="41" spans="5:7" ht="18.75" customHeight="1" x14ac:dyDescent="0.15">
      <c r="E41" s="187">
        <v>44840</v>
      </c>
      <c r="F41" s="14" t="s">
        <v>2721</v>
      </c>
      <c r="G41" s="343" t="s">
        <v>3047</v>
      </c>
    </row>
    <row r="42" spans="5:7" ht="18.75" customHeight="1" x14ac:dyDescent="0.15">
      <c r="F42" s="14" t="s">
        <v>3048</v>
      </c>
      <c r="G42" s="14" t="s">
        <v>3049</v>
      </c>
    </row>
    <row r="44" spans="5:7" ht="18.75" customHeight="1" x14ac:dyDescent="0.15">
      <c r="E44" s="187">
        <v>44860</v>
      </c>
      <c r="F44" s="14" t="s">
        <v>2721</v>
      </c>
      <c r="G44" s="14" t="s">
        <v>482</v>
      </c>
    </row>
    <row r="46" spans="5:7" ht="18.75" customHeight="1" x14ac:dyDescent="0.15">
      <c r="E46" s="328">
        <v>44867</v>
      </c>
      <c r="F46" s="329" t="s">
        <v>2721</v>
      </c>
      <c r="G46" s="329" t="s">
        <v>3056</v>
      </c>
    </row>
    <row r="48" spans="5:7" ht="18.75" customHeight="1" x14ac:dyDescent="0.15">
      <c r="E48" s="187">
        <v>44992</v>
      </c>
      <c r="F48" s="14" t="s">
        <v>2857</v>
      </c>
      <c r="G48" s="14" t="s">
        <v>3096</v>
      </c>
    </row>
    <row r="49" spans="5:7" ht="18.75" customHeight="1" x14ac:dyDescent="0.15">
      <c r="E49" s="187">
        <v>45079</v>
      </c>
      <c r="F49" s="14" t="s">
        <v>2857</v>
      </c>
      <c r="G49" s="14" t="s">
        <v>3180</v>
      </c>
    </row>
    <row r="50" spans="5:7" ht="18.75" customHeight="1" x14ac:dyDescent="0.15">
      <c r="E50" s="187">
        <v>45089</v>
      </c>
      <c r="F50" s="14" t="s">
        <v>2857</v>
      </c>
      <c r="G50" s="14" t="s">
        <v>3181</v>
      </c>
    </row>
    <row r="51" spans="5:7" ht="18.75" customHeight="1" x14ac:dyDescent="0.15">
      <c r="E51" s="187">
        <v>45391</v>
      </c>
      <c r="F51" s="14" t="s">
        <v>2857</v>
      </c>
      <c r="G51" s="14" t="s">
        <v>3202</v>
      </c>
    </row>
    <row r="52" spans="5:7" ht="18.75" customHeight="1" x14ac:dyDescent="0.15">
      <c r="E52" s="187">
        <v>45433</v>
      </c>
      <c r="F52" s="14" t="s">
        <v>3204</v>
      </c>
      <c r="G52" s="14" t="s">
        <v>3205</v>
      </c>
    </row>
    <row r="53" spans="5:7" ht="18.75" customHeight="1" x14ac:dyDescent="0.15">
      <c r="E53" s="187">
        <v>45461</v>
      </c>
      <c r="F53" s="14" t="s">
        <v>3206</v>
      </c>
      <c r="G53" s="14" t="s">
        <v>3210</v>
      </c>
    </row>
    <row r="54" spans="5:7" ht="18.75" customHeight="1" x14ac:dyDescent="0.15">
      <c r="E54" s="187">
        <v>45474</v>
      </c>
      <c r="F54" s="14" t="s">
        <v>3211</v>
      </c>
      <c r="G54" s="14" t="s">
        <v>3212</v>
      </c>
    </row>
    <row r="55" spans="5:7" ht="18.75" customHeight="1" x14ac:dyDescent="0.15">
      <c r="E55" s="187">
        <v>45518</v>
      </c>
      <c r="F55" s="14" t="s">
        <v>2572</v>
      </c>
      <c r="G55" s="14" t="s">
        <v>3291</v>
      </c>
    </row>
    <row r="56" spans="5:7" ht="18.75" customHeight="1" x14ac:dyDescent="0.15">
      <c r="E56" s="187">
        <v>45560</v>
      </c>
      <c r="F56" s="14" t="s">
        <v>3204</v>
      </c>
      <c r="G56" s="14" t="s">
        <v>3293</v>
      </c>
    </row>
    <row r="57" spans="5:7" ht="18.75" customHeight="1" x14ac:dyDescent="0.15">
      <c r="E57" s="187">
        <v>45593</v>
      </c>
      <c r="F57" s="14" t="s">
        <v>3206</v>
      </c>
      <c r="G57" s="14" t="s">
        <v>3434</v>
      </c>
    </row>
    <row r="58" spans="5:7" ht="18.75" customHeight="1" x14ac:dyDescent="0.15">
      <c r="E58" s="187">
        <v>45609</v>
      </c>
      <c r="F58" s="14" t="s">
        <v>3437</v>
      </c>
      <c r="G58" s="14" t="s">
        <v>3438</v>
      </c>
    </row>
  </sheetData>
  <phoneticPr fontId="3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D131"/>
  <sheetViews>
    <sheetView zoomScaleNormal="100" zoomScaleSheetLayoutView="100" workbookViewId="0"/>
  </sheetViews>
  <sheetFormatPr defaultColWidth="0.75" defaultRowHeight="10.5" x14ac:dyDescent="0.15"/>
  <cols>
    <col min="1" max="1" width="0.75" style="297" customWidth="1"/>
    <col min="2" max="2" width="0.75" style="292" customWidth="1"/>
    <col min="3" max="16384" width="0.75" style="292"/>
  </cols>
  <sheetData>
    <row r="1" spans="1:108" ht="10.5" customHeight="1" x14ac:dyDescent="0.15">
      <c r="A1" s="289"/>
      <c r="B1" s="290"/>
      <c r="C1" s="290"/>
      <c r="D1" s="290"/>
      <c r="E1" s="290"/>
      <c r="F1" s="290"/>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c r="CT1" s="291"/>
      <c r="CU1" s="291"/>
      <c r="CV1" s="291"/>
      <c r="CW1" s="291"/>
      <c r="CX1" s="291"/>
      <c r="CY1" s="291"/>
      <c r="CZ1" s="291"/>
      <c r="DA1" s="291"/>
      <c r="DB1" s="291"/>
      <c r="DC1" s="291"/>
      <c r="DD1" s="291"/>
    </row>
    <row r="2" spans="1:108" ht="13.5" customHeight="1" x14ac:dyDescent="0.15">
      <c r="A2" s="896" t="s">
        <v>2843</v>
      </c>
      <c r="B2" s="896"/>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6"/>
      <c r="AF2" s="896"/>
      <c r="AG2" s="896"/>
      <c r="AH2" s="896"/>
      <c r="AI2" s="896"/>
      <c r="AJ2" s="896"/>
      <c r="AK2" s="896"/>
      <c r="AL2" s="896"/>
      <c r="AM2" s="896"/>
      <c r="AN2" s="896"/>
      <c r="AO2" s="896"/>
      <c r="AP2" s="896"/>
      <c r="AQ2" s="896"/>
      <c r="AR2" s="896"/>
      <c r="AS2" s="896"/>
      <c r="AT2" s="896"/>
      <c r="AU2" s="896"/>
      <c r="AV2" s="896"/>
      <c r="AW2" s="896"/>
      <c r="AX2" s="896"/>
      <c r="AY2" s="896"/>
      <c r="AZ2" s="896"/>
      <c r="BA2" s="896"/>
      <c r="BB2" s="896"/>
      <c r="BC2" s="896"/>
      <c r="BD2" s="896"/>
      <c r="BE2" s="896"/>
      <c r="BF2" s="896"/>
      <c r="BG2" s="896"/>
      <c r="BH2" s="896"/>
      <c r="BI2" s="896"/>
      <c r="BJ2" s="896"/>
      <c r="BK2" s="896"/>
      <c r="BL2" s="896"/>
      <c r="BM2" s="896"/>
      <c r="BN2" s="896"/>
      <c r="BO2" s="896"/>
      <c r="BP2" s="896"/>
      <c r="BQ2" s="896"/>
      <c r="BR2" s="896"/>
      <c r="BS2" s="896"/>
      <c r="BT2" s="896"/>
      <c r="BU2" s="896"/>
      <c r="BV2" s="896"/>
      <c r="BW2" s="896"/>
      <c r="BX2" s="896"/>
      <c r="BY2" s="896"/>
      <c r="BZ2" s="896"/>
      <c r="CA2" s="896"/>
      <c r="CB2" s="896"/>
      <c r="CC2" s="896"/>
      <c r="CD2" s="896"/>
      <c r="CE2" s="896"/>
      <c r="CF2" s="896"/>
      <c r="CG2" s="896"/>
      <c r="CH2" s="896"/>
      <c r="CI2" s="896"/>
      <c r="CJ2" s="896"/>
      <c r="CK2" s="896"/>
      <c r="CL2" s="896"/>
      <c r="CM2" s="896"/>
      <c r="CN2" s="896"/>
      <c r="CO2" s="896"/>
      <c r="CP2" s="896"/>
      <c r="CQ2" s="896"/>
      <c r="CR2" s="896"/>
      <c r="CS2" s="896"/>
      <c r="CT2" s="896"/>
      <c r="CU2" s="896"/>
      <c r="CV2" s="896"/>
      <c r="CW2" s="896"/>
      <c r="CX2" s="896"/>
      <c r="CY2" s="896"/>
      <c r="CZ2" s="896"/>
      <c r="DA2" s="896"/>
      <c r="DB2" s="896"/>
      <c r="DC2" s="896"/>
      <c r="DD2" s="896"/>
    </row>
    <row r="3" spans="1:108" ht="13.5" customHeight="1" x14ac:dyDescent="0.15">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c r="CG3" s="294"/>
      <c r="CH3" s="294"/>
      <c r="CI3" s="294"/>
      <c r="CJ3" s="294"/>
      <c r="CK3" s="294"/>
      <c r="CL3" s="294"/>
      <c r="CM3" s="294"/>
      <c r="CN3" s="294"/>
      <c r="CO3" s="294"/>
      <c r="CP3" s="294"/>
      <c r="CQ3" s="294"/>
      <c r="CR3" s="294"/>
      <c r="CS3" s="294"/>
      <c r="CT3" s="294"/>
      <c r="CU3" s="294"/>
      <c r="CV3" s="294"/>
      <c r="CW3" s="294"/>
      <c r="CX3" s="294"/>
      <c r="CY3" s="294"/>
      <c r="CZ3" s="294"/>
      <c r="DA3" s="294"/>
      <c r="DB3" s="294"/>
      <c r="DC3" s="294"/>
      <c r="DD3" s="294"/>
    </row>
    <row r="4" spans="1:108" ht="13.5" customHeight="1" x14ac:dyDescent="0.15">
      <c r="A4" s="295"/>
      <c r="B4" s="296"/>
      <c r="C4" s="297" t="s">
        <v>2844</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row>
    <row r="5" spans="1:108" ht="13.5" customHeight="1" x14ac:dyDescent="0.15">
      <c r="A5" s="295"/>
      <c r="B5" s="296"/>
      <c r="C5" s="295"/>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row>
    <row r="6" spans="1:108" ht="13.5" customHeight="1" x14ac:dyDescent="0.15">
      <c r="A6" s="295"/>
      <c r="B6" s="296"/>
      <c r="C6" s="295"/>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row>
    <row r="7" spans="1:108" ht="13.5" customHeight="1" x14ac:dyDescent="0.15">
      <c r="A7" s="295"/>
      <c r="B7" s="296"/>
      <c r="C7" s="295"/>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row>
    <row r="8" spans="1:108" ht="13.5" customHeight="1" x14ac:dyDescent="0.15">
      <c r="A8" s="295"/>
      <c r="B8" s="296"/>
      <c r="C8" s="295"/>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row>
    <row r="9" spans="1:108" ht="13.5" customHeight="1" x14ac:dyDescent="0.15">
      <c r="A9" s="295"/>
      <c r="B9" s="296"/>
      <c r="C9" s="295"/>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row>
    <row r="10" spans="1:108" ht="13.5" customHeight="1" x14ac:dyDescent="0.15">
      <c r="A10" s="295"/>
      <c r="B10" s="296"/>
      <c r="C10" s="295"/>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row>
    <row r="11" spans="1:108" ht="13.5" customHeight="1" x14ac:dyDescent="0.15">
      <c r="A11" s="295"/>
      <c r="B11" s="296"/>
      <c r="C11" s="295"/>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row>
    <row r="12" spans="1:108" ht="13.5" customHeight="1" x14ac:dyDescent="0.15">
      <c r="A12" s="295"/>
      <c r="B12" s="296"/>
      <c r="C12" s="295"/>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row>
    <row r="13" spans="1:108" ht="13.5" customHeight="1" x14ac:dyDescent="0.15">
      <c r="A13" s="295"/>
      <c r="B13" s="296"/>
      <c r="C13" s="295"/>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row>
    <row r="14" spans="1:108" ht="13.5" customHeight="1" x14ac:dyDescent="0.15">
      <c r="A14" s="295"/>
      <c r="B14" s="296"/>
      <c r="C14" s="295"/>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row>
    <row r="15" spans="1:108" ht="13.5" customHeight="1" x14ac:dyDescent="0.15">
      <c r="A15" s="295"/>
      <c r="B15" s="296"/>
      <c r="C15" s="295"/>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row>
    <row r="16" spans="1:108" ht="13.5" customHeight="1" x14ac:dyDescent="0.15">
      <c r="A16" s="295"/>
      <c r="B16" s="296"/>
      <c r="C16" s="295"/>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row>
    <row r="17" spans="1:108" ht="13.5" customHeight="1" x14ac:dyDescent="0.15">
      <c r="A17" s="295"/>
      <c r="B17" s="296"/>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row>
    <row r="18" spans="1:108" ht="13.5" customHeight="1" x14ac:dyDescent="0.15">
      <c r="A18" s="295"/>
      <c r="B18" s="296"/>
      <c r="C18" s="295"/>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row>
    <row r="19" spans="1:108" ht="13.5" customHeight="1" x14ac:dyDescent="0.15">
      <c r="A19" s="295"/>
      <c r="B19" s="296"/>
      <c r="C19" s="295"/>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row>
    <row r="20" spans="1:108" ht="13.5" customHeight="1" x14ac:dyDescent="0.15">
      <c r="A20" s="295"/>
      <c r="B20" s="296"/>
      <c r="C20" s="297" t="s">
        <v>483</v>
      </c>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row>
    <row r="21" spans="1:108" ht="13.5" customHeight="1" x14ac:dyDescent="0.15">
      <c r="A21" s="295"/>
      <c r="B21" s="296"/>
      <c r="C21" s="295"/>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row>
    <row r="22" spans="1:108" ht="13.5" customHeight="1" x14ac:dyDescent="0.15">
      <c r="A22" s="295"/>
      <c r="B22" s="296"/>
      <c r="C22" s="295"/>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row>
    <row r="23" spans="1:108" ht="13.5" customHeight="1" x14ac:dyDescent="0.15">
      <c r="A23" s="295"/>
      <c r="B23" s="296"/>
      <c r="C23" s="295"/>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row>
    <row r="24" spans="1:108" ht="13.5" customHeight="1" x14ac:dyDescent="0.15">
      <c r="A24" s="295"/>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row>
    <row r="25" spans="1:108" ht="13.5" customHeight="1" x14ac:dyDescent="0.15">
      <c r="A25" s="298"/>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c r="CS25" s="299"/>
      <c r="CT25" s="299"/>
      <c r="CU25" s="299"/>
      <c r="CV25" s="299"/>
      <c r="CW25" s="299"/>
      <c r="CX25" s="299"/>
      <c r="CY25" s="299"/>
      <c r="CZ25" s="299"/>
      <c r="DA25" s="299"/>
      <c r="DB25" s="299"/>
      <c r="DC25" s="299"/>
      <c r="DD25" s="299"/>
    </row>
    <row r="26" spans="1:108" ht="13.5" customHeight="1" x14ac:dyDescent="0.15">
      <c r="A26" s="298"/>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c r="CS26" s="299"/>
      <c r="CT26" s="299"/>
      <c r="CU26" s="299"/>
      <c r="CV26" s="299"/>
      <c r="CW26" s="299"/>
      <c r="CX26" s="299"/>
      <c r="CY26" s="299"/>
      <c r="CZ26" s="299"/>
      <c r="DA26" s="299"/>
      <c r="DB26" s="299"/>
      <c r="DC26" s="299"/>
      <c r="DD26" s="299"/>
    </row>
    <row r="27" spans="1:108" ht="13.5" customHeight="1" x14ac:dyDescent="0.15">
      <c r="A27" s="295"/>
      <c r="B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row>
    <row r="28" spans="1:108" ht="13.5" customHeight="1" x14ac:dyDescent="0.15">
      <c r="A28" s="295"/>
      <c r="B28" s="296"/>
      <c r="C28" s="295"/>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row>
    <row r="29" spans="1:108" ht="13.5" customHeight="1" x14ac:dyDescent="0.15">
      <c r="A29" s="295"/>
      <c r="B29" s="296"/>
      <c r="C29" s="295"/>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row>
    <row r="30" spans="1:108" ht="13.5" customHeight="1" x14ac:dyDescent="0.15">
      <c r="A30" s="295"/>
      <c r="B30" s="296"/>
      <c r="C30" s="295"/>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row>
    <row r="31" spans="1:108" ht="13.5" customHeight="1" x14ac:dyDescent="0.15">
      <c r="A31" s="295"/>
      <c r="B31" s="296"/>
      <c r="C31" s="295"/>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row>
    <row r="32" spans="1:108" ht="13.5" customHeight="1" x14ac:dyDescent="0.15">
      <c r="A32" s="295"/>
      <c r="B32" s="296"/>
      <c r="C32" s="295"/>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row>
    <row r="33" spans="1:108" ht="13.5" customHeight="1" x14ac:dyDescent="0.15">
      <c r="A33" s="295"/>
      <c r="B33" s="296"/>
      <c r="C33" s="295"/>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c r="CE33" s="296"/>
      <c r="CF33" s="296"/>
      <c r="CG33" s="296"/>
      <c r="CH33" s="296"/>
      <c r="CI33" s="296"/>
      <c r="CJ33" s="296"/>
      <c r="CK33" s="296"/>
      <c r="CL33" s="296"/>
      <c r="CM33" s="296"/>
      <c r="CN33" s="296"/>
      <c r="CO33" s="296"/>
      <c r="CP33" s="296"/>
      <c r="CQ33" s="296"/>
      <c r="CR33" s="296"/>
      <c r="CS33" s="296"/>
      <c r="CT33" s="296"/>
      <c r="CU33" s="296"/>
      <c r="CV33" s="296"/>
      <c r="CW33" s="296"/>
      <c r="CX33" s="296"/>
      <c r="CY33" s="296"/>
      <c r="CZ33" s="296"/>
      <c r="DA33" s="296"/>
      <c r="DB33" s="296"/>
      <c r="DC33" s="296"/>
      <c r="DD33" s="296"/>
    </row>
    <row r="34" spans="1:108" ht="13.5" customHeight="1" x14ac:dyDescent="0.15">
      <c r="A34" s="295"/>
      <c r="B34" s="296"/>
      <c r="C34" s="295"/>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row>
    <row r="35" spans="1:108" ht="13.5" customHeight="1" x14ac:dyDescent="0.15">
      <c r="A35" s="295"/>
      <c r="B35" s="296"/>
      <c r="C35" s="295"/>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row>
    <row r="36" spans="1:108" ht="13.5" customHeight="1" x14ac:dyDescent="0.15">
      <c r="A36" s="295"/>
      <c r="B36" s="296"/>
      <c r="C36" s="295"/>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row>
    <row r="37" spans="1:108" ht="13.5" customHeight="1" x14ac:dyDescent="0.15">
      <c r="A37" s="295"/>
      <c r="B37" s="296"/>
      <c r="C37" s="295"/>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row>
    <row r="38" spans="1:108" ht="13.5" customHeight="1" x14ac:dyDescent="0.15">
      <c r="A38" s="295"/>
      <c r="B38" s="296"/>
      <c r="C38" s="295"/>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row>
    <row r="39" spans="1:108" ht="13.5" customHeight="1" x14ac:dyDescent="0.15">
      <c r="A39" s="295"/>
      <c r="B39" s="296"/>
      <c r="C39" s="295"/>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c r="CQ39" s="296"/>
      <c r="CR39" s="296"/>
      <c r="CS39" s="296"/>
      <c r="CT39" s="296"/>
      <c r="CU39" s="296"/>
      <c r="CV39" s="296"/>
      <c r="CW39" s="296"/>
      <c r="CX39" s="296"/>
      <c r="CY39" s="296"/>
      <c r="CZ39" s="296"/>
      <c r="DA39" s="296"/>
      <c r="DB39" s="296"/>
      <c r="DC39" s="296"/>
      <c r="DD39" s="296"/>
    </row>
    <row r="40" spans="1:108" ht="13.5" customHeight="1" x14ac:dyDescent="0.15">
      <c r="A40" s="295"/>
      <c r="B40" s="296"/>
      <c r="C40" s="295"/>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c r="CA40" s="296"/>
      <c r="CB40" s="296"/>
      <c r="CC40" s="296"/>
      <c r="CD40" s="296"/>
      <c r="CE40" s="296"/>
      <c r="CF40" s="296"/>
      <c r="CG40" s="296"/>
      <c r="CH40" s="296"/>
      <c r="CI40" s="296"/>
      <c r="CJ40" s="296"/>
      <c r="CK40" s="296"/>
      <c r="CL40" s="296"/>
      <c r="CM40" s="296"/>
      <c r="CN40" s="296"/>
      <c r="CO40" s="296"/>
      <c r="CP40" s="296"/>
      <c r="CQ40" s="296"/>
      <c r="CR40" s="296"/>
      <c r="CS40" s="296"/>
      <c r="CT40" s="296"/>
      <c r="CU40" s="296"/>
      <c r="CV40" s="296"/>
      <c r="CW40" s="296"/>
      <c r="CX40" s="296"/>
      <c r="CY40" s="296"/>
      <c r="CZ40" s="296"/>
      <c r="DA40" s="296"/>
      <c r="DB40" s="296"/>
      <c r="DC40" s="296"/>
      <c r="DD40" s="296"/>
    </row>
    <row r="41" spans="1:108" ht="13.5" customHeight="1" x14ac:dyDescent="0.15">
      <c r="A41" s="295"/>
      <c r="B41" s="296"/>
      <c r="C41" s="295"/>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row>
    <row r="42" spans="1:108" ht="13.5" customHeight="1" x14ac:dyDescent="0.15">
      <c r="A42" s="295"/>
      <c r="B42" s="296"/>
      <c r="C42" s="295"/>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row>
    <row r="43" spans="1:108" ht="13.5" customHeight="1" x14ac:dyDescent="0.15">
      <c r="A43" s="295"/>
      <c r="B43" s="296"/>
      <c r="C43" s="295"/>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row>
    <row r="44" spans="1:108" ht="13.5" customHeight="1" x14ac:dyDescent="0.15">
      <c r="A44" s="295"/>
      <c r="B44" s="296"/>
      <c r="C44" s="295"/>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row>
    <row r="45" spans="1:108" ht="13.5" customHeight="1" x14ac:dyDescent="0.15">
      <c r="A45" s="295"/>
      <c r="B45" s="296"/>
      <c r="C45" s="295"/>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row>
    <row r="46" spans="1:108" ht="13.5" customHeight="1" x14ac:dyDescent="0.15">
      <c r="A46" s="295"/>
      <c r="B46" s="296"/>
      <c r="C46" s="295"/>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row>
    <row r="47" spans="1:108" ht="13.5" customHeight="1" x14ac:dyDescent="0.15">
      <c r="A47" s="295"/>
      <c r="B47" s="296"/>
      <c r="C47" s="295"/>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row>
    <row r="48" spans="1:108" ht="13.5" customHeight="1" x14ac:dyDescent="0.15">
      <c r="A48" s="295"/>
      <c r="B48" s="296"/>
      <c r="C48" s="295"/>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row>
    <row r="49" spans="1:108" ht="13.5" customHeight="1" x14ac:dyDescent="0.15">
      <c r="A49" s="295"/>
      <c r="B49" s="296"/>
      <c r="C49" s="295"/>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row>
    <row r="50" spans="1:108" ht="13.5" customHeight="1" x14ac:dyDescent="0.15">
      <c r="A50" s="295"/>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row>
    <row r="51" spans="1:108" ht="13.5" customHeight="1" x14ac:dyDescent="0.15">
      <c r="A51" s="295"/>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row>
    <row r="52" spans="1:108" ht="13.5" customHeight="1" x14ac:dyDescent="0.15">
      <c r="A52" s="295"/>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row>
    <row r="53" spans="1:108" ht="13.5" customHeight="1" x14ac:dyDescent="0.15">
      <c r="A53" s="300"/>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row>
    <row r="54" spans="1:108" ht="13.5" customHeight="1" x14ac:dyDescent="0.15">
      <c r="A54" s="289"/>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c r="CC54" s="290"/>
      <c r="CD54" s="290"/>
      <c r="CE54" s="290"/>
      <c r="CF54" s="290"/>
      <c r="CG54" s="290"/>
      <c r="CH54" s="290"/>
      <c r="CI54" s="290"/>
      <c r="CJ54" s="290"/>
      <c r="CK54" s="290"/>
      <c r="CL54" s="290"/>
      <c r="CM54" s="290"/>
      <c r="CN54" s="290"/>
      <c r="CO54" s="290"/>
      <c r="CP54" s="290"/>
      <c r="CQ54" s="290"/>
      <c r="CR54" s="290"/>
      <c r="CS54" s="290"/>
      <c r="CT54" s="290"/>
      <c r="CU54" s="290"/>
      <c r="CV54" s="290"/>
      <c r="CW54" s="290"/>
      <c r="CX54" s="290"/>
      <c r="CY54" s="290"/>
      <c r="CZ54" s="290"/>
      <c r="DA54" s="290"/>
      <c r="DB54" s="290"/>
      <c r="DC54" s="290"/>
      <c r="DD54" s="290"/>
    </row>
    <row r="55" spans="1:108" ht="13.5" customHeight="1" x14ac:dyDescent="0.15">
      <c r="C55" s="297" t="s">
        <v>2845</v>
      </c>
    </row>
    <row r="56" spans="1:108" ht="13.5" customHeight="1" x14ac:dyDescent="0.15">
      <c r="A56" s="297" t="s">
        <v>2846</v>
      </c>
    </row>
    <row r="57" spans="1:108" ht="13.5" customHeight="1" x14ac:dyDescent="0.15">
      <c r="C57" s="297" t="s">
        <v>29</v>
      </c>
      <c r="G57" s="897" t="s">
        <v>2847</v>
      </c>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7"/>
      <c r="AJ57" s="897"/>
      <c r="AK57" s="897"/>
      <c r="AL57" s="897"/>
      <c r="AM57" s="897"/>
      <c r="AN57" s="897"/>
      <c r="AO57" s="897"/>
      <c r="AP57" s="897"/>
      <c r="AQ57" s="897"/>
      <c r="AR57" s="897"/>
      <c r="AS57" s="897"/>
      <c r="AT57" s="897"/>
      <c r="AU57" s="897"/>
      <c r="AV57" s="897"/>
      <c r="AW57" s="897"/>
      <c r="AX57" s="897"/>
      <c r="AY57" s="897"/>
      <c r="AZ57" s="897"/>
      <c r="BA57" s="897"/>
      <c r="BB57" s="897"/>
      <c r="BC57" s="897"/>
      <c r="BD57" s="897"/>
      <c r="BE57" s="897"/>
      <c r="BF57" s="897"/>
      <c r="BG57" s="897"/>
      <c r="BH57" s="897"/>
      <c r="BI57" s="897"/>
      <c r="BJ57" s="897"/>
      <c r="BK57" s="897"/>
      <c r="BL57" s="897"/>
      <c r="BM57" s="897"/>
      <c r="BN57" s="897"/>
      <c r="BO57" s="897"/>
      <c r="BP57" s="897"/>
      <c r="BQ57" s="897"/>
      <c r="BR57" s="897"/>
      <c r="BS57" s="897"/>
      <c r="BT57" s="897"/>
      <c r="BU57" s="897"/>
      <c r="BV57" s="897"/>
      <c r="BW57" s="897"/>
      <c r="BX57" s="897"/>
      <c r="BY57" s="897"/>
      <c r="BZ57" s="897"/>
      <c r="CA57" s="897"/>
      <c r="CB57" s="897"/>
      <c r="CC57" s="897"/>
      <c r="CD57" s="897"/>
      <c r="CE57" s="897"/>
      <c r="CF57" s="897"/>
      <c r="CG57" s="897"/>
      <c r="CH57" s="897"/>
      <c r="CI57" s="897"/>
      <c r="CJ57" s="897"/>
      <c r="CK57" s="897"/>
      <c r="CL57" s="897"/>
      <c r="CM57" s="897"/>
      <c r="CN57" s="897"/>
      <c r="CO57" s="897"/>
      <c r="CP57" s="897"/>
      <c r="CQ57" s="897"/>
      <c r="CR57" s="897"/>
      <c r="CS57" s="897"/>
      <c r="CT57" s="897"/>
      <c r="CU57" s="897"/>
      <c r="CV57" s="897"/>
      <c r="CW57" s="897"/>
      <c r="CX57" s="897"/>
      <c r="CY57" s="897"/>
      <c r="CZ57" s="897"/>
      <c r="DA57" s="897"/>
      <c r="DB57" s="897"/>
    </row>
    <row r="58" spans="1:108" ht="13.5" customHeight="1" x14ac:dyDescent="0.15">
      <c r="G58" s="897"/>
      <c r="H58" s="897"/>
      <c r="I58" s="897"/>
      <c r="J58" s="897"/>
      <c r="K58" s="897"/>
      <c r="L58" s="897"/>
      <c r="M58" s="897"/>
      <c r="N58" s="897"/>
      <c r="O58" s="897"/>
      <c r="P58" s="897"/>
      <c r="Q58" s="897"/>
      <c r="R58" s="897"/>
      <c r="S58" s="897"/>
      <c r="T58" s="897"/>
      <c r="U58" s="897"/>
      <c r="V58" s="897"/>
      <c r="W58" s="897"/>
      <c r="X58" s="897"/>
      <c r="Y58" s="897"/>
      <c r="Z58" s="897"/>
      <c r="AA58" s="897"/>
      <c r="AB58" s="897"/>
      <c r="AC58" s="897"/>
      <c r="AD58" s="897"/>
      <c r="AE58" s="897"/>
      <c r="AF58" s="897"/>
      <c r="AG58" s="897"/>
      <c r="AH58" s="897"/>
      <c r="AI58" s="897"/>
      <c r="AJ58" s="897"/>
      <c r="AK58" s="897"/>
      <c r="AL58" s="897"/>
      <c r="AM58" s="897"/>
      <c r="AN58" s="897"/>
      <c r="AO58" s="897"/>
      <c r="AP58" s="897"/>
      <c r="AQ58" s="897"/>
      <c r="AR58" s="897"/>
      <c r="AS58" s="897"/>
      <c r="AT58" s="897"/>
      <c r="AU58" s="897"/>
      <c r="AV58" s="897"/>
      <c r="AW58" s="897"/>
      <c r="AX58" s="897"/>
      <c r="AY58" s="897"/>
      <c r="AZ58" s="897"/>
      <c r="BA58" s="897"/>
      <c r="BB58" s="897"/>
      <c r="BC58" s="897"/>
      <c r="BD58" s="897"/>
      <c r="BE58" s="897"/>
      <c r="BF58" s="897"/>
      <c r="BG58" s="897"/>
      <c r="BH58" s="897"/>
      <c r="BI58" s="897"/>
      <c r="BJ58" s="897"/>
      <c r="BK58" s="897"/>
      <c r="BL58" s="897"/>
      <c r="BM58" s="897"/>
      <c r="BN58" s="897"/>
      <c r="BO58" s="897"/>
      <c r="BP58" s="897"/>
      <c r="BQ58" s="897"/>
      <c r="BR58" s="897"/>
      <c r="BS58" s="897"/>
      <c r="BT58" s="897"/>
      <c r="BU58" s="897"/>
      <c r="BV58" s="897"/>
      <c r="BW58" s="897"/>
      <c r="BX58" s="897"/>
      <c r="BY58" s="897"/>
      <c r="BZ58" s="897"/>
      <c r="CA58" s="897"/>
      <c r="CB58" s="897"/>
      <c r="CC58" s="897"/>
      <c r="CD58" s="897"/>
      <c r="CE58" s="897"/>
      <c r="CF58" s="897"/>
      <c r="CG58" s="897"/>
      <c r="CH58" s="897"/>
      <c r="CI58" s="897"/>
      <c r="CJ58" s="897"/>
      <c r="CK58" s="897"/>
      <c r="CL58" s="897"/>
      <c r="CM58" s="897"/>
      <c r="CN58" s="897"/>
      <c r="CO58" s="897"/>
      <c r="CP58" s="897"/>
      <c r="CQ58" s="897"/>
      <c r="CR58" s="897"/>
      <c r="CS58" s="897"/>
      <c r="CT58" s="897"/>
      <c r="CU58" s="897"/>
      <c r="CV58" s="897"/>
      <c r="CW58" s="897"/>
      <c r="CX58" s="897"/>
      <c r="CY58" s="897"/>
      <c r="CZ58" s="897"/>
      <c r="DA58" s="897"/>
      <c r="DB58" s="897"/>
    </row>
    <row r="59" spans="1:108" ht="13.5" customHeight="1" x14ac:dyDescent="0.15">
      <c r="C59" s="297" t="s">
        <v>31</v>
      </c>
      <c r="G59" s="897" t="s">
        <v>2848</v>
      </c>
      <c r="H59" s="897"/>
      <c r="I59" s="897"/>
      <c r="J59" s="897"/>
      <c r="K59" s="897"/>
      <c r="L59" s="897"/>
      <c r="M59" s="897"/>
      <c r="N59" s="897"/>
      <c r="O59" s="897"/>
      <c r="P59" s="897"/>
      <c r="Q59" s="897"/>
      <c r="R59" s="897"/>
      <c r="S59" s="897"/>
      <c r="T59" s="897"/>
      <c r="U59" s="897"/>
      <c r="V59" s="897"/>
      <c r="W59" s="897"/>
      <c r="X59" s="897"/>
      <c r="Y59" s="897"/>
      <c r="Z59" s="897"/>
      <c r="AA59" s="897"/>
      <c r="AB59" s="897"/>
      <c r="AC59" s="897"/>
      <c r="AD59" s="897"/>
      <c r="AE59" s="897"/>
      <c r="AF59" s="897"/>
      <c r="AG59" s="897"/>
      <c r="AH59" s="897"/>
      <c r="AI59" s="897"/>
      <c r="AJ59" s="897"/>
      <c r="AK59" s="897"/>
      <c r="AL59" s="897"/>
      <c r="AM59" s="897"/>
      <c r="AN59" s="897"/>
      <c r="AO59" s="897"/>
      <c r="AP59" s="897"/>
      <c r="AQ59" s="897"/>
      <c r="AR59" s="897"/>
      <c r="AS59" s="897"/>
      <c r="AT59" s="897"/>
      <c r="AU59" s="897"/>
      <c r="AV59" s="897"/>
      <c r="AW59" s="897"/>
      <c r="AX59" s="897"/>
      <c r="AY59" s="897"/>
      <c r="AZ59" s="897"/>
      <c r="BA59" s="897"/>
      <c r="BB59" s="897"/>
      <c r="BC59" s="897"/>
      <c r="BD59" s="897"/>
      <c r="BE59" s="897"/>
      <c r="BF59" s="897"/>
      <c r="BG59" s="897"/>
      <c r="BH59" s="897"/>
      <c r="BI59" s="897"/>
      <c r="BJ59" s="897"/>
      <c r="BK59" s="897"/>
      <c r="BL59" s="897"/>
      <c r="BM59" s="897"/>
      <c r="BN59" s="897"/>
      <c r="BO59" s="897"/>
      <c r="BP59" s="897"/>
      <c r="BQ59" s="897"/>
      <c r="BR59" s="897"/>
      <c r="BS59" s="897"/>
      <c r="BT59" s="897"/>
      <c r="BU59" s="897"/>
      <c r="BV59" s="897"/>
      <c r="BW59" s="897"/>
      <c r="BX59" s="897"/>
      <c r="BY59" s="897"/>
      <c r="BZ59" s="897"/>
      <c r="CA59" s="897"/>
      <c r="CB59" s="897"/>
      <c r="CC59" s="897"/>
      <c r="CD59" s="897"/>
      <c r="CE59" s="897"/>
      <c r="CF59" s="897"/>
      <c r="CG59" s="897"/>
      <c r="CH59" s="897"/>
      <c r="CI59" s="897"/>
      <c r="CJ59" s="897"/>
      <c r="CK59" s="897"/>
      <c r="CL59" s="897"/>
      <c r="CM59" s="897"/>
      <c r="CN59" s="897"/>
      <c r="CO59" s="897"/>
      <c r="CP59" s="897"/>
      <c r="CQ59" s="897"/>
      <c r="CR59" s="897"/>
      <c r="CS59" s="897"/>
      <c r="CT59" s="897"/>
      <c r="CU59" s="897"/>
      <c r="CV59" s="897"/>
      <c r="CW59" s="897"/>
      <c r="CX59" s="897"/>
      <c r="CY59" s="897"/>
      <c r="CZ59" s="897"/>
      <c r="DA59" s="897"/>
      <c r="DB59" s="897"/>
    </row>
    <row r="60" spans="1:108" ht="13.5" customHeight="1" x14ac:dyDescent="0.15">
      <c r="G60" s="897"/>
      <c r="H60" s="897"/>
      <c r="I60" s="897"/>
      <c r="J60" s="897"/>
      <c r="K60" s="897"/>
      <c r="L60" s="897"/>
      <c r="M60" s="897"/>
      <c r="N60" s="897"/>
      <c r="O60" s="897"/>
      <c r="P60" s="897"/>
      <c r="Q60" s="897"/>
      <c r="R60" s="897"/>
      <c r="S60" s="897"/>
      <c r="T60" s="897"/>
      <c r="U60" s="897"/>
      <c r="V60" s="897"/>
      <c r="W60" s="897"/>
      <c r="X60" s="897"/>
      <c r="Y60" s="897"/>
      <c r="Z60" s="897"/>
      <c r="AA60" s="897"/>
      <c r="AB60" s="897"/>
      <c r="AC60" s="897"/>
      <c r="AD60" s="897"/>
      <c r="AE60" s="897"/>
      <c r="AF60" s="897"/>
      <c r="AG60" s="897"/>
      <c r="AH60" s="897"/>
      <c r="AI60" s="897"/>
      <c r="AJ60" s="897"/>
      <c r="AK60" s="897"/>
      <c r="AL60" s="897"/>
      <c r="AM60" s="897"/>
      <c r="AN60" s="897"/>
      <c r="AO60" s="897"/>
      <c r="AP60" s="897"/>
      <c r="AQ60" s="897"/>
      <c r="AR60" s="897"/>
      <c r="AS60" s="897"/>
      <c r="AT60" s="897"/>
      <c r="AU60" s="897"/>
      <c r="AV60" s="897"/>
      <c r="AW60" s="897"/>
      <c r="AX60" s="897"/>
      <c r="AY60" s="897"/>
      <c r="AZ60" s="897"/>
      <c r="BA60" s="897"/>
      <c r="BB60" s="897"/>
      <c r="BC60" s="897"/>
      <c r="BD60" s="897"/>
      <c r="BE60" s="897"/>
      <c r="BF60" s="897"/>
      <c r="BG60" s="897"/>
      <c r="BH60" s="897"/>
      <c r="BI60" s="897"/>
      <c r="BJ60" s="897"/>
      <c r="BK60" s="897"/>
      <c r="BL60" s="897"/>
      <c r="BM60" s="897"/>
      <c r="BN60" s="897"/>
      <c r="BO60" s="897"/>
      <c r="BP60" s="897"/>
      <c r="BQ60" s="897"/>
      <c r="BR60" s="897"/>
      <c r="BS60" s="897"/>
      <c r="BT60" s="897"/>
      <c r="BU60" s="897"/>
      <c r="BV60" s="897"/>
      <c r="BW60" s="897"/>
      <c r="BX60" s="897"/>
      <c r="BY60" s="897"/>
      <c r="BZ60" s="897"/>
      <c r="CA60" s="897"/>
      <c r="CB60" s="897"/>
      <c r="CC60" s="897"/>
      <c r="CD60" s="897"/>
      <c r="CE60" s="897"/>
      <c r="CF60" s="897"/>
      <c r="CG60" s="897"/>
      <c r="CH60" s="897"/>
      <c r="CI60" s="897"/>
      <c r="CJ60" s="897"/>
      <c r="CK60" s="897"/>
      <c r="CL60" s="897"/>
      <c r="CM60" s="897"/>
      <c r="CN60" s="897"/>
      <c r="CO60" s="897"/>
      <c r="CP60" s="897"/>
      <c r="CQ60" s="897"/>
      <c r="CR60" s="897"/>
      <c r="CS60" s="897"/>
      <c r="CT60" s="897"/>
      <c r="CU60" s="897"/>
      <c r="CV60" s="897"/>
      <c r="CW60" s="897"/>
      <c r="CX60" s="897"/>
      <c r="CY60" s="897"/>
      <c r="CZ60" s="897"/>
      <c r="DA60" s="897"/>
      <c r="DB60" s="897"/>
    </row>
    <row r="61" spans="1:108" ht="13.5" customHeight="1" x14ac:dyDescent="0.15">
      <c r="A61" s="297" t="s">
        <v>2849</v>
      </c>
    </row>
    <row r="62" spans="1:108" ht="13.5" customHeight="1" x14ac:dyDescent="0.15">
      <c r="C62" s="297" t="s">
        <v>29</v>
      </c>
      <c r="G62" s="898" t="s">
        <v>2850</v>
      </c>
      <c r="H62" s="898"/>
      <c r="I62" s="898"/>
      <c r="J62" s="898"/>
      <c r="K62" s="898"/>
      <c r="L62" s="898"/>
      <c r="M62" s="898"/>
      <c r="N62" s="898"/>
      <c r="O62" s="898"/>
      <c r="P62" s="898"/>
      <c r="Q62" s="898"/>
      <c r="R62" s="898"/>
      <c r="S62" s="898"/>
      <c r="T62" s="898"/>
      <c r="U62" s="898"/>
      <c r="V62" s="898"/>
      <c r="W62" s="898"/>
      <c r="X62" s="898"/>
      <c r="Y62" s="898"/>
      <c r="Z62" s="898"/>
      <c r="AA62" s="898"/>
      <c r="AB62" s="898"/>
      <c r="AC62" s="898"/>
      <c r="AD62" s="898"/>
      <c r="AE62" s="898"/>
      <c r="AF62" s="898"/>
      <c r="AG62" s="898"/>
      <c r="AH62" s="898"/>
      <c r="AI62" s="898"/>
      <c r="AJ62" s="898"/>
      <c r="AK62" s="898"/>
      <c r="AL62" s="898"/>
      <c r="AM62" s="898"/>
      <c r="AN62" s="898"/>
      <c r="AO62" s="898"/>
      <c r="AP62" s="898"/>
      <c r="AQ62" s="898"/>
      <c r="AR62" s="898"/>
      <c r="AS62" s="898"/>
      <c r="AT62" s="898"/>
      <c r="AU62" s="898"/>
      <c r="AV62" s="898"/>
      <c r="AW62" s="898"/>
      <c r="AX62" s="898"/>
      <c r="AY62" s="898"/>
      <c r="AZ62" s="898"/>
      <c r="BA62" s="898"/>
      <c r="BB62" s="898"/>
      <c r="BC62" s="898"/>
      <c r="BD62" s="898"/>
      <c r="BE62" s="898"/>
      <c r="BF62" s="898"/>
      <c r="BG62" s="898"/>
      <c r="BH62" s="898"/>
      <c r="BI62" s="898"/>
      <c r="BJ62" s="898"/>
      <c r="BK62" s="898"/>
      <c r="BL62" s="898"/>
      <c r="BM62" s="898"/>
      <c r="BN62" s="898"/>
      <c r="BO62" s="898"/>
      <c r="BP62" s="898"/>
      <c r="BQ62" s="898"/>
      <c r="BR62" s="898"/>
      <c r="BS62" s="898"/>
      <c r="BT62" s="898"/>
      <c r="BU62" s="898"/>
      <c r="BV62" s="898"/>
      <c r="BW62" s="898"/>
      <c r="BX62" s="898"/>
      <c r="BY62" s="898"/>
      <c r="BZ62" s="898"/>
      <c r="CA62" s="898"/>
      <c r="CB62" s="898"/>
      <c r="CC62" s="898"/>
      <c r="CD62" s="898"/>
      <c r="CE62" s="898"/>
      <c r="CF62" s="898"/>
      <c r="CG62" s="898"/>
      <c r="CH62" s="898"/>
      <c r="CI62" s="898"/>
      <c r="CJ62" s="898"/>
      <c r="CK62" s="898"/>
      <c r="CL62" s="898"/>
      <c r="CM62" s="898"/>
      <c r="CN62" s="898"/>
      <c r="CO62" s="898"/>
      <c r="CP62" s="898"/>
      <c r="CQ62" s="898"/>
      <c r="CR62" s="898"/>
      <c r="CS62" s="898"/>
      <c r="CT62" s="898"/>
      <c r="CU62" s="898"/>
      <c r="CV62" s="898"/>
      <c r="CW62" s="898"/>
      <c r="CX62" s="898"/>
      <c r="CY62" s="898"/>
      <c r="CZ62" s="898"/>
      <c r="DA62" s="898"/>
      <c r="DB62" s="898"/>
    </row>
    <row r="63" spans="1:108" ht="13.5" customHeight="1" x14ac:dyDescent="0.15">
      <c r="C63" s="297" t="s">
        <v>31</v>
      </c>
      <c r="G63" s="897" t="s">
        <v>2851</v>
      </c>
      <c r="H63" s="897"/>
      <c r="I63" s="897"/>
      <c r="J63" s="897"/>
      <c r="K63" s="897"/>
      <c r="L63" s="897"/>
      <c r="M63" s="897"/>
      <c r="N63" s="897"/>
      <c r="O63" s="897"/>
      <c r="P63" s="897"/>
      <c r="Q63" s="897"/>
      <c r="R63" s="897"/>
      <c r="S63" s="897"/>
      <c r="T63" s="897"/>
      <c r="U63" s="897"/>
      <c r="V63" s="897"/>
      <c r="W63" s="897"/>
      <c r="X63" s="897"/>
      <c r="Y63" s="897"/>
      <c r="Z63" s="897"/>
      <c r="AA63" s="897"/>
      <c r="AB63" s="897"/>
      <c r="AC63" s="897"/>
      <c r="AD63" s="897"/>
      <c r="AE63" s="897"/>
      <c r="AF63" s="897"/>
      <c r="AG63" s="897"/>
      <c r="AH63" s="897"/>
      <c r="AI63" s="897"/>
      <c r="AJ63" s="897"/>
      <c r="AK63" s="897"/>
      <c r="AL63" s="897"/>
      <c r="AM63" s="897"/>
      <c r="AN63" s="897"/>
      <c r="AO63" s="897"/>
      <c r="AP63" s="897"/>
      <c r="AQ63" s="897"/>
      <c r="AR63" s="897"/>
      <c r="AS63" s="897"/>
      <c r="AT63" s="897"/>
      <c r="AU63" s="897"/>
      <c r="AV63" s="897"/>
      <c r="AW63" s="897"/>
      <c r="AX63" s="897"/>
      <c r="AY63" s="897"/>
      <c r="AZ63" s="897"/>
      <c r="BA63" s="897"/>
      <c r="BB63" s="897"/>
      <c r="BC63" s="897"/>
      <c r="BD63" s="897"/>
      <c r="BE63" s="897"/>
      <c r="BF63" s="897"/>
      <c r="BG63" s="897"/>
      <c r="BH63" s="897"/>
      <c r="BI63" s="897"/>
      <c r="BJ63" s="897"/>
      <c r="BK63" s="897"/>
      <c r="BL63" s="897"/>
      <c r="BM63" s="897"/>
      <c r="BN63" s="897"/>
      <c r="BO63" s="897"/>
      <c r="BP63" s="897"/>
      <c r="BQ63" s="897"/>
      <c r="BR63" s="897"/>
      <c r="BS63" s="897"/>
      <c r="BT63" s="897"/>
      <c r="BU63" s="897"/>
      <c r="BV63" s="897"/>
      <c r="BW63" s="897"/>
      <c r="BX63" s="897"/>
      <c r="BY63" s="897"/>
      <c r="BZ63" s="897"/>
      <c r="CA63" s="897"/>
      <c r="CB63" s="897"/>
      <c r="CC63" s="897"/>
      <c r="CD63" s="897"/>
      <c r="CE63" s="897"/>
      <c r="CF63" s="897"/>
      <c r="CG63" s="897"/>
      <c r="CH63" s="897"/>
      <c r="CI63" s="897"/>
      <c r="CJ63" s="897"/>
      <c r="CK63" s="897"/>
      <c r="CL63" s="897"/>
      <c r="CM63" s="897"/>
      <c r="CN63" s="897"/>
      <c r="CO63" s="897"/>
      <c r="CP63" s="897"/>
      <c r="CQ63" s="897"/>
      <c r="CR63" s="897"/>
      <c r="CS63" s="897"/>
      <c r="CT63" s="897"/>
      <c r="CU63" s="897"/>
      <c r="CV63" s="897"/>
      <c r="CW63" s="897"/>
      <c r="CX63" s="897"/>
      <c r="CY63" s="897"/>
      <c r="CZ63" s="897"/>
      <c r="DA63" s="897"/>
      <c r="DB63" s="897"/>
    </row>
    <row r="64" spans="1:108" ht="13.5" customHeight="1" x14ac:dyDescent="0.15">
      <c r="A64" s="302"/>
      <c r="B64" s="303"/>
      <c r="C64" s="303"/>
      <c r="D64" s="303"/>
      <c r="E64" s="303"/>
      <c r="F64" s="303"/>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897"/>
      <c r="AL64" s="897"/>
      <c r="AM64" s="897"/>
      <c r="AN64" s="897"/>
      <c r="AO64" s="897"/>
      <c r="AP64" s="897"/>
      <c r="AQ64" s="897"/>
      <c r="AR64" s="897"/>
      <c r="AS64" s="897"/>
      <c r="AT64" s="897"/>
      <c r="AU64" s="897"/>
      <c r="AV64" s="897"/>
      <c r="AW64" s="897"/>
      <c r="AX64" s="897"/>
      <c r="AY64" s="897"/>
      <c r="AZ64" s="897"/>
      <c r="BA64" s="897"/>
      <c r="BB64" s="897"/>
      <c r="BC64" s="897"/>
      <c r="BD64" s="897"/>
      <c r="BE64" s="897"/>
      <c r="BF64" s="897"/>
      <c r="BG64" s="897"/>
      <c r="BH64" s="897"/>
      <c r="BI64" s="897"/>
      <c r="BJ64" s="897"/>
      <c r="BK64" s="897"/>
      <c r="BL64" s="897"/>
      <c r="BM64" s="897"/>
      <c r="BN64" s="897"/>
      <c r="BO64" s="897"/>
      <c r="BP64" s="897"/>
      <c r="BQ64" s="897"/>
      <c r="BR64" s="897"/>
      <c r="BS64" s="897"/>
      <c r="BT64" s="897"/>
      <c r="BU64" s="897"/>
      <c r="BV64" s="897"/>
      <c r="BW64" s="897"/>
      <c r="BX64" s="897"/>
      <c r="BY64" s="897"/>
      <c r="BZ64" s="897"/>
      <c r="CA64" s="897"/>
      <c r="CB64" s="897"/>
      <c r="CC64" s="897"/>
      <c r="CD64" s="897"/>
      <c r="CE64" s="897"/>
      <c r="CF64" s="897"/>
      <c r="CG64" s="897"/>
      <c r="CH64" s="897"/>
      <c r="CI64" s="897"/>
      <c r="CJ64" s="897"/>
      <c r="CK64" s="897"/>
      <c r="CL64" s="897"/>
      <c r="CM64" s="897"/>
      <c r="CN64" s="897"/>
      <c r="CO64" s="897"/>
      <c r="CP64" s="897"/>
      <c r="CQ64" s="897"/>
      <c r="CR64" s="897"/>
      <c r="CS64" s="897"/>
      <c r="CT64" s="897"/>
      <c r="CU64" s="897"/>
      <c r="CV64" s="897"/>
      <c r="CW64" s="897"/>
      <c r="CX64" s="897"/>
      <c r="CY64" s="897"/>
      <c r="CZ64" s="897"/>
      <c r="DA64" s="897"/>
      <c r="DB64" s="897"/>
      <c r="DC64" s="303"/>
      <c r="DD64" s="303"/>
    </row>
    <row r="65" spans="1:108" ht="13.5" customHeight="1" x14ac:dyDescent="0.15">
      <c r="A65" s="289"/>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4"/>
      <c r="DB65" s="304"/>
      <c r="DC65" s="304"/>
      <c r="DD65" s="304"/>
    </row>
    <row r="66" spans="1:108" ht="10.5" customHeight="1" x14ac:dyDescent="0.15"/>
    <row r="67" spans="1:108" ht="10.5" customHeight="1" x14ac:dyDescent="0.15"/>
    <row r="68" spans="1:108" ht="10.5" customHeight="1" x14ac:dyDescent="0.15"/>
    <row r="69" spans="1:108" ht="10.5" customHeight="1" x14ac:dyDescent="0.15"/>
    <row r="70" spans="1:108" ht="10.5" customHeight="1" x14ac:dyDescent="0.15"/>
    <row r="71" spans="1:108" ht="10.5" customHeight="1" x14ac:dyDescent="0.15"/>
    <row r="72" spans="1:108" ht="10.5" customHeight="1" x14ac:dyDescent="0.15"/>
    <row r="73" spans="1:108" ht="10.5" customHeight="1" x14ac:dyDescent="0.15"/>
    <row r="74" spans="1:108" ht="10.5" customHeight="1" x14ac:dyDescent="0.15"/>
    <row r="75" spans="1:108" ht="10.5" customHeight="1" x14ac:dyDescent="0.15"/>
    <row r="76" spans="1:108" ht="10.5" customHeight="1" x14ac:dyDescent="0.15"/>
    <row r="77" spans="1:108" ht="10.5" customHeight="1" x14ac:dyDescent="0.15"/>
    <row r="78" spans="1:108" ht="10.5" customHeight="1" x14ac:dyDescent="0.15"/>
    <row r="79" spans="1:108" ht="10.5" customHeight="1" x14ac:dyDescent="0.15"/>
    <row r="80" spans="1:108" ht="10.5" customHeight="1" x14ac:dyDescent="0.15"/>
    <row r="81" ht="10.5" customHeight="1" x14ac:dyDescent="0.15"/>
    <row r="82" ht="10.5" customHeight="1" x14ac:dyDescent="0.15"/>
    <row r="83" ht="10.5" customHeight="1" x14ac:dyDescent="0.15"/>
    <row r="84" ht="10.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10.5" customHeight="1" x14ac:dyDescent="0.15"/>
    <row r="99" ht="10.5" customHeight="1" x14ac:dyDescent="0.15"/>
    <row r="100" ht="10.5" customHeight="1" x14ac:dyDescent="0.15"/>
    <row r="101" ht="10.5" customHeight="1" x14ac:dyDescent="0.15"/>
    <row r="102" ht="10.5" customHeight="1" x14ac:dyDescent="0.15"/>
    <row r="103" ht="10.5" customHeight="1" x14ac:dyDescent="0.15"/>
    <row r="104" ht="10.5" customHeight="1" x14ac:dyDescent="0.15"/>
    <row r="105" ht="10.5" customHeight="1" x14ac:dyDescent="0.15"/>
    <row r="106" ht="10.5" customHeight="1" x14ac:dyDescent="0.15"/>
    <row r="107" ht="10.5" customHeight="1" x14ac:dyDescent="0.15"/>
    <row r="108" ht="10.5" customHeight="1" x14ac:dyDescent="0.15"/>
    <row r="109" ht="10.5" customHeight="1" x14ac:dyDescent="0.15"/>
    <row r="110" ht="10.5" customHeight="1" x14ac:dyDescent="0.15"/>
    <row r="111" ht="10.5" customHeight="1" x14ac:dyDescent="0.15"/>
    <row r="112"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sheetData>
  <mergeCells count="5">
    <mergeCell ref="A2:DD2"/>
    <mergeCell ref="G57:DB58"/>
    <mergeCell ref="G59:DB60"/>
    <mergeCell ref="G62:DB62"/>
    <mergeCell ref="G63:DB64"/>
  </mergeCells>
  <phoneticPr fontId="32"/>
  <printOptions horizontalCentered="1" verticalCentered="1"/>
  <pageMargins left="0.39370078740157483" right="0.39370078740157483" top="0.39370078740157483" bottom="0.39370078740157483" header="0.19685039370078741" footer="0.19685039370078741"/>
  <pageSetup paperSize="9" orientation="portrait" blackAndWhite="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40"/>
  <sheetViews>
    <sheetView zoomScaleNormal="100" workbookViewId="0"/>
  </sheetViews>
  <sheetFormatPr defaultColWidth="3.5" defaultRowHeight="28.5" customHeight="1" x14ac:dyDescent="0.15"/>
  <cols>
    <col min="1" max="1" width="3.5" style="367" customWidth="1"/>
    <col min="2" max="16384" width="3.5" style="367"/>
  </cols>
  <sheetData>
    <row r="1" spans="1:28" ht="28.5" customHeight="1" x14ac:dyDescent="0.15">
      <c r="A1" s="391" t="s">
        <v>3182</v>
      </c>
    </row>
    <row r="2" spans="1:28" ht="28.5" customHeight="1" x14ac:dyDescent="0.15">
      <c r="A2" s="367" t="s">
        <v>3183</v>
      </c>
    </row>
    <row r="3" spans="1:28" ht="28.5" customHeight="1" x14ac:dyDescent="0.15">
      <c r="A3" s="899" t="s">
        <v>3203</v>
      </c>
      <c r="B3" s="899"/>
      <c r="C3" s="899"/>
      <c r="D3" s="899"/>
      <c r="E3" s="899"/>
      <c r="F3" s="899"/>
      <c r="G3" s="899"/>
      <c r="H3" s="899"/>
      <c r="I3" s="899"/>
      <c r="J3" s="899"/>
      <c r="K3" s="899"/>
      <c r="L3" s="899"/>
      <c r="M3" s="899"/>
      <c r="N3" s="899"/>
      <c r="O3" s="899"/>
      <c r="P3" s="899"/>
      <c r="Q3" s="899"/>
      <c r="R3" s="899"/>
      <c r="S3" s="899"/>
      <c r="T3" s="899"/>
      <c r="U3" s="899"/>
      <c r="V3" s="899"/>
      <c r="W3" s="899"/>
      <c r="X3" s="899"/>
      <c r="Y3" s="899"/>
    </row>
    <row r="4" spans="1:28" ht="28.5" customHeight="1" x14ac:dyDescent="0.15">
      <c r="A4" s="899"/>
      <c r="B4" s="899"/>
      <c r="C4" s="899"/>
      <c r="D4" s="899"/>
      <c r="E4" s="899"/>
      <c r="F4" s="899"/>
      <c r="G4" s="899"/>
      <c r="H4" s="899"/>
      <c r="I4" s="899"/>
      <c r="J4" s="899"/>
      <c r="K4" s="899"/>
      <c r="L4" s="899"/>
      <c r="M4" s="899"/>
      <c r="N4" s="899"/>
      <c r="O4" s="899"/>
      <c r="P4" s="899"/>
      <c r="Q4" s="899"/>
      <c r="R4" s="899"/>
      <c r="S4" s="899"/>
      <c r="T4" s="899"/>
      <c r="U4" s="899"/>
      <c r="V4" s="899"/>
      <c r="W4" s="899"/>
      <c r="X4" s="899"/>
      <c r="Y4" s="899"/>
    </row>
    <row r="13" spans="1:28" ht="28.5" customHeight="1" x14ac:dyDescent="0.15">
      <c r="A13" s="905" t="s">
        <v>3184</v>
      </c>
      <c r="B13" s="905"/>
      <c r="C13" s="905"/>
      <c r="D13" s="905"/>
      <c r="E13" s="905"/>
      <c r="F13" s="905"/>
      <c r="G13" s="905"/>
      <c r="H13" s="905"/>
      <c r="I13" s="905"/>
      <c r="J13" s="905"/>
      <c r="K13" s="905"/>
      <c r="L13" s="905"/>
      <c r="M13" s="905"/>
      <c r="N13" s="905"/>
      <c r="O13" s="905"/>
      <c r="P13" s="905"/>
      <c r="Q13" s="905"/>
      <c r="R13" s="905"/>
      <c r="S13" s="905"/>
      <c r="T13" s="905"/>
      <c r="U13" s="905"/>
      <c r="V13" s="905"/>
      <c r="W13" s="905"/>
      <c r="X13" s="905"/>
      <c r="Y13" s="905"/>
    </row>
    <row r="14" spans="1:28" ht="28.5" customHeight="1" x14ac:dyDescent="0.15">
      <c r="A14" s="905"/>
      <c r="B14" s="905"/>
      <c r="C14" s="905"/>
      <c r="D14" s="905"/>
      <c r="E14" s="905"/>
      <c r="F14" s="905"/>
      <c r="G14" s="905"/>
      <c r="H14" s="905"/>
      <c r="I14" s="905"/>
      <c r="J14" s="905"/>
      <c r="K14" s="905"/>
      <c r="L14" s="905"/>
      <c r="M14" s="905"/>
      <c r="N14" s="905"/>
      <c r="O14" s="905"/>
      <c r="P14" s="905"/>
      <c r="Q14" s="905"/>
      <c r="R14" s="905"/>
      <c r="S14" s="905"/>
      <c r="T14" s="905"/>
      <c r="U14" s="905"/>
      <c r="V14" s="905"/>
      <c r="W14" s="905"/>
      <c r="X14" s="905"/>
      <c r="Y14" s="905"/>
    </row>
    <row r="15" spans="1:28" ht="28.5" customHeight="1" x14ac:dyDescent="0.15">
      <c r="A15" s="392" t="s">
        <v>3185</v>
      </c>
      <c r="B15" s="392"/>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row>
    <row r="16" spans="1:28" ht="28.5" customHeight="1" x14ac:dyDescent="0.15">
      <c r="A16" s="393" t="s">
        <v>3189</v>
      </c>
      <c r="E16" s="386" t="s">
        <v>2</v>
      </c>
      <c r="F16" s="904" t="str">
        <f>cst_wskakunin_dairi1_SIKAKU</f>
        <v>一級</v>
      </c>
      <c r="G16" s="904"/>
      <c r="H16" s="904"/>
      <c r="I16" s="368" t="s">
        <v>3139</v>
      </c>
      <c r="L16" s="904" t="str">
        <f>cst_wskakunin_dairi1_TOUROKU_KIKAN</f>
        <v>国土交通大臣</v>
      </c>
      <c r="M16" s="904"/>
      <c r="N16" s="904"/>
      <c r="O16" s="904"/>
      <c r="P16" s="387" t="s">
        <v>3</v>
      </c>
      <c r="Q16" s="368"/>
      <c r="R16" s="386" t="s">
        <v>625</v>
      </c>
      <c r="S16" s="904" t="str">
        <f>cst_wskakunin_dairi1_KENTIKUSI_NO</f>
        <v>380565</v>
      </c>
      <c r="T16" s="904"/>
      <c r="U16" s="904"/>
      <c r="V16" s="904"/>
      <c r="W16" s="904"/>
      <c r="X16" s="386" t="s">
        <v>439</v>
      </c>
      <c r="Z16" s="368"/>
      <c r="AA16" s="368"/>
      <c r="AB16" s="368"/>
    </row>
    <row r="17" spans="1:28" ht="28.5" customHeight="1" x14ac:dyDescent="0.15">
      <c r="A17" s="393" t="s">
        <v>3190</v>
      </c>
      <c r="C17" s="368"/>
      <c r="D17" s="369"/>
      <c r="E17" s="901" t="str">
        <f>cst_wskakunin_dairi1_NAME</f>
        <v>武智　且洋</v>
      </c>
      <c r="F17" s="901"/>
      <c r="G17" s="901"/>
      <c r="H17" s="901"/>
      <c r="I17" s="901"/>
      <c r="J17" s="901"/>
      <c r="K17" s="901"/>
      <c r="L17" s="901"/>
      <c r="M17" s="901"/>
      <c r="N17" s="901"/>
      <c r="O17" s="901"/>
      <c r="P17" s="901"/>
      <c r="Q17" s="901"/>
      <c r="R17" s="901"/>
      <c r="S17" s="901"/>
      <c r="T17" s="901"/>
      <c r="U17" s="901"/>
      <c r="V17" s="901"/>
      <c r="W17" s="901"/>
      <c r="X17" s="901"/>
      <c r="Y17" s="901"/>
    </row>
    <row r="18" spans="1:28" ht="28.5" customHeight="1" x14ac:dyDescent="0.15">
      <c r="A18" s="393" t="s">
        <v>3186</v>
      </c>
      <c r="C18" s="368"/>
      <c r="D18" s="368"/>
      <c r="E18" s="368"/>
      <c r="F18" s="368"/>
      <c r="G18" s="386" t="s">
        <v>2</v>
      </c>
      <c r="H18" s="904" t="str">
        <f>cst_wskakunin_dairi1_JIMU_SIKAKU</f>
        <v>一級</v>
      </c>
      <c r="I18" s="904"/>
      <c r="J18" s="387" t="s">
        <v>3</v>
      </c>
      <c r="K18" s="368" t="s">
        <v>627</v>
      </c>
      <c r="L18" s="368"/>
      <c r="M18" s="368"/>
      <c r="N18" s="368"/>
      <c r="O18" s="369" t="s">
        <v>2</v>
      </c>
      <c r="P18" s="904" t="str">
        <f>cst_wskakunin_dairi1_JIMU_TOUROKU_KIKAN</f>
        <v>香川県</v>
      </c>
      <c r="Q18" s="904"/>
      <c r="R18" s="387" t="s">
        <v>3</v>
      </c>
      <c r="S18" s="368"/>
      <c r="T18" s="368"/>
      <c r="U18" s="386" t="s">
        <v>628</v>
      </c>
      <c r="V18" s="904" t="str">
        <f>cst_wskakunin_dairi1_JIMU_NO</f>
        <v>2347</v>
      </c>
      <c r="W18" s="904"/>
      <c r="X18" s="904"/>
      <c r="Y18" s="386" t="s">
        <v>439</v>
      </c>
      <c r="Z18" s="368"/>
      <c r="AA18" s="368"/>
      <c r="AB18" s="368"/>
    </row>
    <row r="19" spans="1:28" ht="28.5" customHeight="1" x14ac:dyDescent="0.15">
      <c r="A19" s="393"/>
      <c r="C19" s="368"/>
      <c r="D19" s="901" t="str">
        <f>cst_wskakunin_dairi1_JIMU_NAME</f>
        <v>株式会社コラボハウス一級建築士事務所</v>
      </c>
      <c r="E19" s="901"/>
      <c r="F19" s="901"/>
      <c r="G19" s="901"/>
      <c r="H19" s="901"/>
      <c r="I19" s="901"/>
      <c r="J19" s="901"/>
      <c r="K19" s="901"/>
      <c r="L19" s="901"/>
      <c r="M19" s="901"/>
      <c r="N19" s="901"/>
      <c r="O19" s="901"/>
      <c r="P19" s="901"/>
      <c r="Q19" s="901"/>
      <c r="R19" s="901"/>
      <c r="S19" s="901"/>
      <c r="T19" s="901"/>
      <c r="U19" s="901"/>
      <c r="V19" s="901"/>
      <c r="W19" s="901"/>
      <c r="X19" s="901"/>
      <c r="Y19" s="901"/>
    </row>
    <row r="20" spans="1:28" ht="28.5" customHeight="1" x14ac:dyDescent="0.15">
      <c r="A20" s="393" t="s">
        <v>3187</v>
      </c>
      <c r="C20" s="368"/>
      <c r="D20" s="369"/>
      <c r="E20" s="369"/>
      <c r="F20" s="369" t="s">
        <v>3110</v>
      </c>
      <c r="G20" s="901" t="str">
        <f>cst_wskakunin_dairi1_ZIP</f>
        <v>761-0312</v>
      </c>
      <c r="H20" s="901"/>
      <c r="I20" s="901"/>
      <c r="J20" s="901"/>
      <c r="K20" s="368"/>
      <c r="L20" s="368"/>
      <c r="M20" s="369"/>
      <c r="N20" s="368"/>
      <c r="O20" s="368"/>
      <c r="P20" s="368"/>
      <c r="Q20" s="368"/>
      <c r="R20" s="368"/>
      <c r="S20" s="368"/>
      <c r="T20" s="368"/>
      <c r="U20" s="368"/>
      <c r="V20" s="368"/>
      <c r="W20" s="368"/>
      <c r="X20" s="368"/>
      <c r="Y20" s="368"/>
      <c r="Z20" s="368"/>
      <c r="AA20" s="368"/>
      <c r="AB20" s="368"/>
    </row>
    <row r="21" spans="1:28" ht="28.5" customHeight="1" x14ac:dyDescent="0.15">
      <c r="A21" s="393" t="s">
        <v>3191</v>
      </c>
      <c r="C21" s="368"/>
      <c r="D21" s="369"/>
      <c r="E21" s="901" t="str">
        <f>cst_wskakunin_dairi1__address</f>
        <v>香川県高松市東山崎町13-2</v>
      </c>
      <c r="F21" s="901"/>
      <c r="G21" s="901"/>
      <c r="H21" s="901"/>
      <c r="I21" s="901"/>
      <c r="J21" s="901"/>
      <c r="K21" s="901"/>
      <c r="L21" s="901"/>
      <c r="M21" s="901"/>
      <c r="N21" s="901"/>
      <c r="O21" s="901"/>
      <c r="P21" s="901"/>
      <c r="Q21" s="901"/>
      <c r="R21" s="901"/>
      <c r="S21" s="901"/>
      <c r="T21" s="901"/>
      <c r="U21" s="901"/>
      <c r="V21" s="901"/>
      <c r="W21" s="901"/>
      <c r="X21" s="901"/>
      <c r="Y21" s="901"/>
    </row>
    <row r="22" spans="1:28" ht="28.5" customHeight="1" x14ac:dyDescent="0.15">
      <c r="A22" s="393" t="s">
        <v>3188</v>
      </c>
      <c r="C22" s="368"/>
      <c r="D22" s="369"/>
      <c r="E22" s="369"/>
      <c r="F22" s="901" t="str">
        <f>cst_wskakunin_dairi1_TEL</f>
        <v>087-813-0909</v>
      </c>
      <c r="G22" s="901"/>
      <c r="H22" s="901"/>
      <c r="I22" s="901"/>
      <c r="J22" s="901"/>
      <c r="K22" s="901"/>
      <c r="L22" s="901"/>
      <c r="M22" s="368"/>
      <c r="N22" s="368"/>
      <c r="O22" s="368"/>
      <c r="P22" s="368"/>
      <c r="Q22" s="368"/>
      <c r="R22" s="368"/>
      <c r="S22" s="368"/>
      <c r="T22" s="368"/>
      <c r="U22" s="368"/>
      <c r="V22" s="368"/>
      <c r="W22" s="368"/>
      <c r="X22" s="368"/>
      <c r="Y22" s="368"/>
      <c r="Z22" s="368"/>
      <c r="AA22" s="368"/>
      <c r="AB22" s="368"/>
    </row>
    <row r="24" spans="1:28" ht="28.5" customHeight="1" x14ac:dyDescent="0.15">
      <c r="A24" s="902" t="s">
        <v>3192</v>
      </c>
      <c r="B24" s="902"/>
      <c r="C24" s="902"/>
      <c r="D24" s="902"/>
      <c r="E24" s="902"/>
      <c r="F24" s="902"/>
      <c r="G24" s="902"/>
      <c r="H24" s="902"/>
      <c r="I24" s="902"/>
      <c r="J24" s="902"/>
      <c r="K24" s="902"/>
      <c r="L24" s="902"/>
      <c r="M24" s="902"/>
      <c r="N24" s="902"/>
      <c r="O24" s="902"/>
      <c r="P24" s="902"/>
      <c r="Q24" s="902"/>
      <c r="R24" s="902"/>
      <c r="S24" s="902"/>
      <c r="T24" s="902"/>
      <c r="U24" s="902"/>
      <c r="V24" s="902"/>
      <c r="W24" s="902"/>
      <c r="X24" s="902"/>
      <c r="Y24" s="902"/>
    </row>
    <row r="25" spans="1:28" ht="28.5" customHeight="1" x14ac:dyDescent="0.15">
      <c r="A25" s="902" t="s">
        <v>3193</v>
      </c>
      <c r="B25" s="902"/>
      <c r="C25" s="902"/>
      <c r="D25" s="902"/>
      <c r="E25" s="902"/>
      <c r="F25" s="902"/>
      <c r="G25" s="902"/>
      <c r="H25" s="902"/>
      <c r="I25" s="902"/>
      <c r="J25" s="902"/>
      <c r="K25" s="902"/>
      <c r="L25" s="902"/>
      <c r="M25" s="902"/>
      <c r="N25" s="902"/>
      <c r="O25" s="902"/>
      <c r="P25" s="902"/>
      <c r="Q25" s="902"/>
      <c r="R25" s="902"/>
      <c r="S25" s="902"/>
      <c r="T25" s="902"/>
      <c r="U25" s="902"/>
      <c r="V25" s="902"/>
      <c r="W25" s="902"/>
      <c r="X25" s="902"/>
      <c r="Y25" s="902"/>
    </row>
    <row r="26" spans="1:28" ht="28.5" customHeight="1" x14ac:dyDescent="0.15">
      <c r="P26" s="369"/>
    </row>
    <row r="27" spans="1:28" ht="28.5" customHeight="1" x14ac:dyDescent="0.15">
      <c r="A27" s="367" t="s">
        <v>664</v>
      </c>
      <c r="F27" s="903" t="str">
        <f>cst_wskakunin_BUILD__address</f>
        <v>香川県丸亀市飯山町下法軍寺字島田737番3</v>
      </c>
      <c r="G27" s="903"/>
      <c r="H27" s="903"/>
      <c r="I27" s="903"/>
      <c r="J27" s="903"/>
      <c r="K27" s="903"/>
      <c r="L27" s="903"/>
      <c r="M27" s="903"/>
      <c r="N27" s="903"/>
      <c r="O27" s="903"/>
      <c r="P27" s="903"/>
      <c r="Q27" s="903"/>
      <c r="R27" s="903"/>
      <c r="S27" s="903"/>
      <c r="T27" s="903"/>
      <c r="U27" s="903"/>
      <c r="V27" s="903"/>
      <c r="W27" s="903"/>
      <c r="X27" s="903"/>
      <c r="Y27" s="903"/>
    </row>
    <row r="28" spans="1:28" ht="28.5" customHeight="1" x14ac:dyDescent="0.15">
      <c r="A28" s="367" t="s">
        <v>3194</v>
      </c>
      <c r="F28" s="902" t="str">
        <f>cst_wskakunin_YOUTO</f>
        <v>一戸建ての住宅</v>
      </c>
      <c r="G28" s="902"/>
      <c r="H28" s="902"/>
      <c r="I28" s="902"/>
      <c r="J28" s="902"/>
      <c r="K28" s="902"/>
      <c r="L28" s="902"/>
      <c r="M28" s="902"/>
      <c r="N28" s="902"/>
      <c r="O28" s="902"/>
      <c r="P28" s="902"/>
      <c r="Q28" s="902"/>
      <c r="R28" s="902"/>
      <c r="S28" s="902"/>
      <c r="T28" s="902"/>
      <c r="U28" s="902"/>
      <c r="V28" s="902"/>
      <c r="W28" s="902"/>
      <c r="X28" s="902"/>
      <c r="Y28" s="902"/>
    </row>
    <row r="29" spans="1:28" ht="28.5" customHeight="1" x14ac:dyDescent="0.15">
      <c r="A29" s="367" t="s">
        <v>3195</v>
      </c>
    </row>
    <row r="30" spans="1:28" ht="28.5" customHeight="1" x14ac:dyDescent="0.15">
      <c r="G30" s="394" t="s">
        <v>554</v>
      </c>
      <c r="H30" s="367" t="s">
        <v>3196</v>
      </c>
    </row>
    <row r="31" spans="1:28" ht="28.5" customHeight="1" x14ac:dyDescent="0.15">
      <c r="G31" s="394" t="s">
        <v>554</v>
      </c>
      <c r="H31" s="367" t="s">
        <v>3197</v>
      </c>
    </row>
    <row r="32" spans="1:28" ht="28.5" customHeight="1" x14ac:dyDescent="0.15">
      <c r="G32" s="394" t="s">
        <v>554</v>
      </c>
      <c r="H32" s="367" t="s">
        <v>3198</v>
      </c>
    </row>
    <row r="34" spans="1:25" ht="28.5" customHeight="1" x14ac:dyDescent="0.15">
      <c r="P34" s="395" t="str">
        <f ca="1">TEXT(TODAY(),"ggg")</f>
        <v>令和</v>
      </c>
      <c r="Q34" s="900"/>
      <c r="R34" s="900"/>
      <c r="S34" s="367" t="s">
        <v>436</v>
      </c>
      <c r="T34" s="900"/>
      <c r="U34" s="900"/>
      <c r="V34" s="367" t="s">
        <v>0</v>
      </c>
      <c r="W34" s="900"/>
      <c r="X34" s="900"/>
      <c r="Y34" s="367" t="s">
        <v>437</v>
      </c>
    </row>
    <row r="35" spans="1:25" ht="28.5" customHeight="1" x14ac:dyDescent="0.15">
      <c r="A35" s="367" t="s">
        <v>3199</v>
      </c>
    </row>
    <row r="36" spans="1:25" ht="28.5" customHeight="1" x14ac:dyDescent="0.15">
      <c r="B36" s="367" t="s">
        <v>3207</v>
      </c>
      <c r="G36" s="906" t="str">
        <f>cst_wskakunin_owner1__space_KANA</f>
        <v>ﾐｷ　ｱｷﾌﾐ</v>
      </c>
      <c r="H36" s="906"/>
      <c r="I36" s="906"/>
      <c r="J36" s="906"/>
      <c r="K36" s="906"/>
      <c r="L36" s="906"/>
      <c r="M36" s="906"/>
      <c r="N36" s="367" t="s">
        <v>3207</v>
      </c>
      <c r="O36" s="399"/>
      <c r="P36" s="399"/>
      <c r="Q36" s="399"/>
      <c r="R36" s="399"/>
      <c r="S36" s="906" t="str">
        <f>cst_wskakunin_owner2__space_KANA</f>
        <v>ﾐｷ　ﾒｸﾞﾐ</v>
      </c>
      <c r="T36" s="906"/>
      <c r="U36" s="906"/>
      <c r="V36" s="906"/>
      <c r="W36" s="906"/>
      <c r="X36" s="906"/>
      <c r="Y36" s="906"/>
    </row>
    <row r="37" spans="1:25" ht="28.5" customHeight="1" x14ac:dyDescent="0.15">
      <c r="B37" s="367" t="s">
        <v>3190</v>
      </c>
      <c r="F37" s="906" t="str">
        <f>cst_wskakunin_owner1__space3</f>
        <v>三木　章史</v>
      </c>
      <c r="G37" s="906"/>
      <c r="H37" s="906"/>
      <c r="I37" s="906"/>
      <c r="J37" s="906"/>
      <c r="K37" s="906"/>
      <c r="L37" s="906"/>
      <c r="M37" s="906"/>
      <c r="N37" s="367" t="s">
        <v>3190</v>
      </c>
      <c r="O37" s="399"/>
      <c r="P37" s="399"/>
      <c r="Q37" s="399"/>
      <c r="R37" s="906" t="str">
        <f>cst_wskakunin_owner2__space3</f>
        <v>三木　恵</v>
      </c>
      <c r="S37" s="906"/>
      <c r="T37" s="906"/>
      <c r="U37" s="906"/>
      <c r="V37" s="906"/>
      <c r="W37" s="906"/>
      <c r="X37" s="906"/>
      <c r="Y37" s="906"/>
    </row>
    <row r="38" spans="1:25" ht="28.5" customHeight="1" x14ac:dyDescent="0.15">
      <c r="B38" s="367" t="s">
        <v>3187</v>
      </c>
      <c r="F38" s="367" t="s">
        <v>3110</v>
      </c>
      <c r="G38" s="906" t="str">
        <f>cst_wskakunin_owner1_ZIP</f>
        <v>763-0094</v>
      </c>
      <c r="H38" s="906"/>
      <c r="I38" s="906"/>
      <c r="J38" s="906"/>
      <c r="K38" s="906"/>
      <c r="L38" s="906"/>
      <c r="M38" s="906"/>
      <c r="N38" s="367" t="s">
        <v>3187</v>
      </c>
      <c r="R38" s="367" t="s">
        <v>3110</v>
      </c>
      <c r="S38" s="906" t="str">
        <f>cst_wskakunin_owner2_ZIP</f>
        <v>763-0094</v>
      </c>
      <c r="T38" s="906"/>
      <c r="U38" s="906"/>
      <c r="V38" s="906"/>
      <c r="W38" s="906"/>
      <c r="X38" s="906"/>
      <c r="Y38" s="906"/>
    </row>
    <row r="39" spans="1:25" ht="28.5" customHeight="1" x14ac:dyDescent="0.15">
      <c r="B39" s="367" t="s">
        <v>3200</v>
      </c>
      <c r="E39" s="906" t="str">
        <f>cst_wskakunin_owner1__address</f>
        <v>香川県丸亀市三条町1206番地1　キッシングラミーC棟201号</v>
      </c>
      <c r="F39" s="906"/>
      <c r="G39" s="906"/>
      <c r="H39" s="906"/>
      <c r="I39" s="906"/>
      <c r="J39" s="906"/>
      <c r="K39" s="906"/>
      <c r="L39" s="906"/>
      <c r="M39" s="906"/>
      <c r="N39" s="367" t="s">
        <v>3200</v>
      </c>
      <c r="O39" s="399"/>
      <c r="P39" s="399"/>
      <c r="Q39" s="906" t="str">
        <f>cst_wskakunin_owner2__address</f>
        <v>香川県丸亀市三条町1206番地1　キッシングラミーC棟201号</v>
      </c>
      <c r="R39" s="906"/>
      <c r="S39" s="906"/>
      <c r="T39" s="906"/>
      <c r="U39" s="906"/>
      <c r="V39" s="906"/>
      <c r="W39" s="906"/>
      <c r="X39" s="906"/>
      <c r="Y39" s="906"/>
    </row>
    <row r="40" spans="1:25" ht="28.5" customHeight="1" x14ac:dyDescent="0.15">
      <c r="B40" s="367" t="s">
        <v>3188</v>
      </c>
      <c r="F40" s="906" t="str">
        <f>cst_wskakunin_owner1_TEL</f>
        <v>090-5914-2655</v>
      </c>
      <c r="G40" s="906"/>
      <c r="H40" s="906"/>
      <c r="I40" s="906"/>
      <c r="J40" s="906"/>
      <c r="K40" s="906"/>
      <c r="L40" s="906"/>
      <c r="M40" s="906"/>
      <c r="N40" s="367" t="s">
        <v>3188</v>
      </c>
      <c r="R40" s="906" t="str">
        <f>cst_wskakunin_owner2_TEL</f>
        <v>090-5718-4090</v>
      </c>
      <c r="S40" s="906"/>
      <c r="T40" s="906"/>
      <c r="U40" s="906"/>
      <c r="V40" s="906"/>
      <c r="W40" s="906"/>
      <c r="X40" s="906"/>
      <c r="Y40" s="906"/>
    </row>
  </sheetData>
  <mergeCells count="30">
    <mergeCell ref="F37:M37"/>
    <mergeCell ref="E39:M39"/>
    <mergeCell ref="G38:M38"/>
    <mergeCell ref="F40:M40"/>
    <mergeCell ref="R40:Y40"/>
    <mergeCell ref="R37:Y37"/>
    <mergeCell ref="S38:Y38"/>
    <mergeCell ref="Q39:Y39"/>
    <mergeCell ref="F16:H16"/>
    <mergeCell ref="L16:O16"/>
    <mergeCell ref="S16:W16"/>
    <mergeCell ref="E17:Y17"/>
    <mergeCell ref="G36:M36"/>
    <mergeCell ref="S36:Y36"/>
    <mergeCell ref="A3:Y4"/>
    <mergeCell ref="Q34:R34"/>
    <mergeCell ref="T34:U34"/>
    <mergeCell ref="W34:X34"/>
    <mergeCell ref="G20:J20"/>
    <mergeCell ref="E21:Y21"/>
    <mergeCell ref="F22:L22"/>
    <mergeCell ref="A24:Y24"/>
    <mergeCell ref="A25:Y25"/>
    <mergeCell ref="F27:Y27"/>
    <mergeCell ref="F28:Y28"/>
    <mergeCell ref="D19:Y19"/>
    <mergeCell ref="H18:I18"/>
    <mergeCell ref="P18:Q18"/>
    <mergeCell ref="V18:X18"/>
    <mergeCell ref="A13:Y14"/>
  </mergeCells>
  <phoneticPr fontId="32"/>
  <conditionalFormatting sqref="F28:Y28">
    <cfRule type="expression" dxfId="1" priority="1">
      <formula>OR(wsjob_JOB_KIND=103,wsjob_JOB_KIND=104)</formula>
    </cfRule>
    <cfRule type="expression" dxfId="0" priority="2">
      <formula>OR(wsjob_JOB_KIND=101,wsjob_JOB_KIND=102)</formula>
    </cfRule>
  </conditionalFormatting>
  <dataValidations disablePrompts="1" count="1">
    <dataValidation type="list" allowBlank="1" showInputMessage="1" showErrorMessage="1" sqref="G30:G32" xr:uid="{00000000-0002-0000-1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1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42"/>
  <sheetViews>
    <sheetView zoomScaleNormal="100" workbookViewId="0"/>
  </sheetViews>
  <sheetFormatPr defaultColWidth="3.5" defaultRowHeight="28.5" customHeight="1" x14ac:dyDescent="0.15"/>
  <cols>
    <col min="1" max="1" width="3.5" style="405" customWidth="1"/>
    <col min="2" max="16384" width="3.5" style="405"/>
  </cols>
  <sheetData>
    <row r="1" spans="1:28" ht="28.5" customHeight="1" x14ac:dyDescent="0.15">
      <c r="A1" s="404" t="s">
        <v>3182</v>
      </c>
    </row>
    <row r="2" spans="1:28" ht="28.5" customHeight="1" x14ac:dyDescent="0.15">
      <c r="A2" s="405" t="s">
        <v>3183</v>
      </c>
    </row>
    <row r="3" spans="1:28" ht="28.5" customHeight="1" x14ac:dyDescent="0.15">
      <c r="A3" s="908" t="s">
        <v>3203</v>
      </c>
      <c r="B3" s="908"/>
      <c r="C3" s="908"/>
      <c r="D3" s="908"/>
      <c r="E3" s="908"/>
      <c r="F3" s="908"/>
      <c r="G3" s="908"/>
      <c r="H3" s="908"/>
      <c r="I3" s="908"/>
      <c r="J3" s="908"/>
      <c r="K3" s="908"/>
      <c r="L3" s="908"/>
      <c r="M3" s="908"/>
      <c r="N3" s="908"/>
      <c r="O3" s="908"/>
      <c r="P3" s="908"/>
      <c r="Q3" s="908"/>
      <c r="R3" s="908"/>
      <c r="S3" s="908"/>
      <c r="T3" s="908"/>
      <c r="U3" s="908"/>
      <c r="V3" s="908"/>
      <c r="W3" s="908"/>
      <c r="X3" s="908"/>
      <c r="Y3" s="908"/>
    </row>
    <row r="4" spans="1:28" ht="28.5" customHeight="1" x14ac:dyDescent="0.15">
      <c r="A4" s="908"/>
      <c r="B4" s="908"/>
      <c r="C4" s="908"/>
      <c r="D4" s="908"/>
      <c r="E4" s="908"/>
      <c r="F4" s="908"/>
      <c r="G4" s="908"/>
      <c r="H4" s="908"/>
      <c r="I4" s="908"/>
      <c r="J4" s="908"/>
      <c r="K4" s="908"/>
      <c r="L4" s="908"/>
      <c r="M4" s="908"/>
      <c r="N4" s="908"/>
      <c r="O4" s="908"/>
      <c r="P4" s="908"/>
      <c r="Q4" s="908"/>
      <c r="R4" s="908"/>
      <c r="S4" s="908"/>
      <c r="T4" s="908"/>
      <c r="U4" s="908"/>
      <c r="V4" s="908"/>
      <c r="W4" s="908"/>
      <c r="X4" s="908"/>
      <c r="Y4" s="908"/>
    </row>
    <row r="13" spans="1:28" ht="27" customHeight="1" x14ac:dyDescent="0.15">
      <c r="A13" s="909" t="s">
        <v>3184</v>
      </c>
      <c r="B13" s="909"/>
      <c r="C13" s="909"/>
      <c r="D13" s="909"/>
      <c r="E13" s="909"/>
      <c r="F13" s="909"/>
      <c r="G13" s="909"/>
      <c r="H13" s="909"/>
      <c r="I13" s="909"/>
      <c r="J13" s="909"/>
      <c r="K13" s="909"/>
      <c r="L13" s="909"/>
      <c r="M13" s="909"/>
      <c r="N13" s="909"/>
      <c r="O13" s="909"/>
      <c r="P13" s="909"/>
      <c r="Q13" s="909"/>
      <c r="R13" s="909"/>
      <c r="S13" s="909"/>
      <c r="T13" s="909"/>
      <c r="U13" s="909"/>
      <c r="V13" s="909"/>
      <c r="W13" s="909"/>
      <c r="X13" s="909"/>
      <c r="Y13" s="909"/>
    </row>
    <row r="14" spans="1:28" ht="27" customHeight="1" x14ac:dyDescent="0.15">
      <c r="A14" s="909"/>
      <c r="B14" s="909"/>
      <c r="C14" s="909"/>
      <c r="D14" s="909"/>
      <c r="E14" s="909"/>
      <c r="F14" s="909"/>
      <c r="G14" s="909"/>
      <c r="H14" s="909"/>
      <c r="I14" s="909"/>
      <c r="J14" s="909"/>
      <c r="K14" s="909"/>
      <c r="L14" s="909"/>
      <c r="M14" s="909"/>
      <c r="N14" s="909"/>
      <c r="O14" s="909"/>
      <c r="P14" s="909"/>
      <c r="Q14" s="909"/>
      <c r="R14" s="909"/>
      <c r="S14" s="909"/>
      <c r="T14" s="909"/>
      <c r="U14" s="909"/>
      <c r="V14" s="909"/>
      <c r="W14" s="909"/>
      <c r="X14" s="909"/>
      <c r="Y14" s="909"/>
    </row>
    <row r="15" spans="1:28" ht="27" customHeight="1" x14ac:dyDescent="0.15">
      <c r="A15" s="406" t="s">
        <v>3185</v>
      </c>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row>
    <row r="16" spans="1:28" ht="27" customHeight="1" x14ac:dyDescent="0.15">
      <c r="A16" s="407" t="s">
        <v>3189</v>
      </c>
      <c r="E16" s="408" t="s">
        <v>2</v>
      </c>
      <c r="F16" s="910"/>
      <c r="G16" s="910"/>
      <c r="H16" s="910"/>
      <c r="I16" s="409" t="s">
        <v>3139</v>
      </c>
      <c r="L16" s="910"/>
      <c r="M16" s="910"/>
      <c r="N16" s="910"/>
      <c r="O16" s="910"/>
      <c r="P16" s="410" t="s">
        <v>3</v>
      </c>
      <c r="Q16" s="409"/>
      <c r="R16" s="408" t="s">
        <v>625</v>
      </c>
      <c r="S16" s="910"/>
      <c r="T16" s="910"/>
      <c r="U16" s="910"/>
      <c r="V16" s="910"/>
      <c r="W16" s="910"/>
      <c r="X16" s="408" t="s">
        <v>439</v>
      </c>
      <c r="Z16" s="409"/>
      <c r="AA16" s="409"/>
      <c r="AB16" s="409"/>
    </row>
    <row r="17" spans="1:28" ht="27" customHeight="1" x14ac:dyDescent="0.15">
      <c r="A17" s="407" t="s">
        <v>3190</v>
      </c>
      <c r="C17" s="409"/>
      <c r="D17" s="411"/>
      <c r="E17" s="907" t="str">
        <f>cst_wshyouka_dairi1_NAME</f>
        <v/>
      </c>
      <c r="F17" s="907"/>
      <c r="G17" s="907"/>
      <c r="H17" s="907"/>
      <c r="I17" s="907"/>
      <c r="J17" s="907"/>
      <c r="K17" s="907"/>
      <c r="L17" s="907"/>
      <c r="M17" s="907"/>
      <c r="N17" s="907"/>
      <c r="O17" s="907"/>
      <c r="P17" s="907"/>
      <c r="Q17" s="907"/>
      <c r="R17" s="907"/>
      <c r="S17" s="907"/>
      <c r="T17" s="907"/>
      <c r="U17" s="907"/>
      <c r="V17" s="907"/>
      <c r="W17" s="907"/>
      <c r="X17" s="907"/>
      <c r="Y17" s="907"/>
    </row>
    <row r="18" spans="1:28" ht="27" customHeight="1" x14ac:dyDescent="0.15">
      <c r="A18" s="407" t="s">
        <v>3186</v>
      </c>
      <c r="C18" s="409"/>
      <c r="D18" s="409"/>
      <c r="E18" s="409"/>
      <c r="F18" s="409"/>
      <c r="G18" s="408" t="s">
        <v>2</v>
      </c>
      <c r="H18" s="910"/>
      <c r="I18" s="910"/>
      <c r="J18" s="410" t="s">
        <v>3</v>
      </c>
      <c r="K18" s="409" t="s">
        <v>627</v>
      </c>
      <c r="L18" s="409"/>
      <c r="M18" s="409"/>
      <c r="N18" s="409"/>
      <c r="O18" s="411" t="s">
        <v>2</v>
      </c>
      <c r="P18" s="910"/>
      <c r="Q18" s="910"/>
      <c r="R18" s="410" t="s">
        <v>3</v>
      </c>
      <c r="S18" s="409"/>
      <c r="T18" s="409"/>
      <c r="U18" s="408" t="s">
        <v>628</v>
      </c>
      <c r="V18" s="910"/>
      <c r="W18" s="910"/>
      <c r="X18" s="910"/>
      <c r="Y18" s="408" t="s">
        <v>439</v>
      </c>
      <c r="Z18" s="409"/>
      <c r="AA18" s="409"/>
      <c r="AB18" s="409"/>
    </row>
    <row r="19" spans="1:28" ht="27" customHeight="1" x14ac:dyDescent="0.15">
      <c r="A19" s="407"/>
      <c r="C19" s="409"/>
      <c r="D19" s="907" t="str">
        <f>cst_wshyouka_dairi1_JIMU_NAME</f>
        <v/>
      </c>
      <c r="E19" s="907"/>
      <c r="F19" s="907"/>
      <c r="G19" s="907"/>
      <c r="H19" s="907"/>
      <c r="I19" s="907"/>
      <c r="J19" s="907"/>
      <c r="K19" s="907"/>
      <c r="L19" s="907"/>
      <c r="M19" s="907"/>
      <c r="N19" s="907"/>
      <c r="O19" s="907"/>
      <c r="P19" s="907"/>
      <c r="Q19" s="907"/>
      <c r="R19" s="907"/>
      <c r="S19" s="907"/>
      <c r="T19" s="907"/>
      <c r="U19" s="907"/>
      <c r="V19" s="907"/>
      <c r="W19" s="907"/>
      <c r="X19" s="907"/>
      <c r="Y19" s="907"/>
    </row>
    <row r="20" spans="1:28" ht="27" customHeight="1" x14ac:dyDescent="0.15">
      <c r="A20" s="407" t="s">
        <v>3187</v>
      </c>
      <c r="C20" s="409"/>
      <c r="D20" s="411"/>
      <c r="E20" s="411"/>
      <c r="F20" s="411" t="s">
        <v>3110</v>
      </c>
      <c r="G20" s="907" t="str">
        <f>cst_wshyouka_dairi1_ZIP</f>
        <v/>
      </c>
      <c r="H20" s="907"/>
      <c r="I20" s="907"/>
      <c r="J20" s="907"/>
      <c r="K20" s="409"/>
      <c r="L20" s="409"/>
      <c r="M20" s="411"/>
      <c r="N20" s="409"/>
      <c r="O20" s="409"/>
      <c r="P20" s="409"/>
      <c r="Q20" s="409"/>
      <c r="R20" s="409"/>
      <c r="S20" s="409"/>
      <c r="T20" s="409"/>
      <c r="U20" s="409"/>
      <c r="V20" s="409"/>
      <c r="W20" s="409"/>
      <c r="X20" s="409"/>
      <c r="Y20" s="409"/>
      <c r="Z20" s="409"/>
      <c r="AA20" s="409"/>
      <c r="AB20" s="409"/>
    </row>
    <row r="21" spans="1:28" ht="27" customHeight="1" x14ac:dyDescent="0.15">
      <c r="A21" s="407" t="s">
        <v>3191</v>
      </c>
      <c r="C21" s="409"/>
      <c r="D21" s="411"/>
      <c r="E21" s="907" t="str">
        <f>cst_wshyouka_dairi1__address</f>
        <v/>
      </c>
      <c r="F21" s="907"/>
      <c r="G21" s="907"/>
      <c r="H21" s="907"/>
      <c r="I21" s="907"/>
      <c r="J21" s="907"/>
      <c r="K21" s="907"/>
      <c r="L21" s="907"/>
      <c r="M21" s="907"/>
      <c r="N21" s="907"/>
      <c r="O21" s="907"/>
      <c r="P21" s="907"/>
      <c r="Q21" s="907"/>
      <c r="R21" s="907"/>
      <c r="S21" s="907"/>
      <c r="T21" s="907"/>
      <c r="U21" s="907"/>
      <c r="V21" s="907"/>
      <c r="W21" s="907"/>
      <c r="X21" s="907"/>
      <c r="Y21" s="907"/>
    </row>
    <row r="22" spans="1:28" ht="27" customHeight="1" x14ac:dyDescent="0.15">
      <c r="A22" s="407" t="s">
        <v>3188</v>
      </c>
      <c r="C22" s="409"/>
      <c r="D22" s="411"/>
      <c r="E22" s="411"/>
      <c r="F22" s="907" t="str">
        <f>cst_wshyouka_dairi1_TEL</f>
        <v/>
      </c>
      <c r="G22" s="907"/>
      <c r="H22" s="907"/>
      <c r="I22" s="907"/>
      <c r="J22" s="907"/>
      <c r="K22" s="907"/>
      <c r="L22" s="907"/>
      <c r="M22" s="409"/>
      <c r="N22" s="409"/>
      <c r="O22" s="409"/>
      <c r="P22" s="409"/>
      <c r="Q22" s="409"/>
      <c r="R22" s="409"/>
      <c r="S22" s="409"/>
      <c r="T22" s="409"/>
      <c r="U22" s="409"/>
      <c r="V22" s="409"/>
      <c r="W22" s="409"/>
      <c r="X22" s="409"/>
      <c r="Y22" s="409"/>
      <c r="Z22" s="409"/>
      <c r="AA22" s="409"/>
      <c r="AB22" s="409"/>
    </row>
    <row r="23" spans="1:28" ht="27" customHeight="1" x14ac:dyDescent="0.15"/>
    <row r="24" spans="1:28" ht="27" customHeight="1" x14ac:dyDescent="0.15">
      <c r="A24" s="912" t="s">
        <v>3192</v>
      </c>
      <c r="B24" s="912"/>
      <c r="C24" s="912"/>
      <c r="D24" s="912"/>
      <c r="E24" s="912"/>
      <c r="F24" s="912"/>
      <c r="G24" s="912"/>
      <c r="H24" s="912"/>
      <c r="I24" s="912"/>
      <c r="J24" s="912"/>
      <c r="K24" s="912"/>
      <c r="L24" s="912"/>
      <c r="M24" s="912"/>
      <c r="N24" s="912"/>
      <c r="O24" s="912"/>
      <c r="P24" s="912"/>
      <c r="Q24" s="912"/>
      <c r="R24" s="912"/>
      <c r="S24" s="912"/>
      <c r="T24" s="912"/>
      <c r="U24" s="912"/>
      <c r="V24" s="912"/>
      <c r="W24" s="912"/>
      <c r="X24" s="912"/>
      <c r="Y24" s="912"/>
    </row>
    <row r="25" spans="1:28" ht="27" customHeight="1" x14ac:dyDescent="0.15">
      <c r="A25" s="912" t="s">
        <v>3193</v>
      </c>
      <c r="B25" s="912"/>
      <c r="C25" s="912"/>
      <c r="D25" s="912"/>
      <c r="E25" s="912"/>
      <c r="F25" s="912"/>
      <c r="G25" s="912"/>
      <c r="H25" s="912"/>
      <c r="I25" s="912"/>
      <c r="J25" s="912"/>
      <c r="K25" s="912"/>
      <c r="L25" s="912"/>
      <c r="M25" s="912"/>
      <c r="N25" s="912"/>
      <c r="O25" s="912"/>
      <c r="P25" s="912"/>
      <c r="Q25" s="912"/>
      <c r="R25" s="912"/>
      <c r="S25" s="912"/>
      <c r="T25" s="912"/>
      <c r="U25" s="912"/>
      <c r="V25" s="912"/>
      <c r="W25" s="912"/>
      <c r="X25" s="912"/>
      <c r="Y25" s="912"/>
    </row>
    <row r="26" spans="1:28" ht="27" customHeight="1" x14ac:dyDescent="0.15">
      <c r="P26" s="411"/>
    </row>
    <row r="27" spans="1:28" ht="27" customHeight="1" x14ac:dyDescent="0.15">
      <c r="A27" s="405" t="s">
        <v>664</v>
      </c>
      <c r="F27" s="913" t="str">
        <f>cst_wshyouka_BUILD__address</f>
        <v/>
      </c>
      <c r="G27" s="913"/>
      <c r="H27" s="913"/>
      <c r="I27" s="913"/>
      <c r="J27" s="913"/>
      <c r="K27" s="913"/>
      <c r="L27" s="913"/>
      <c r="M27" s="913"/>
      <c r="N27" s="913"/>
      <c r="O27" s="913"/>
      <c r="P27" s="913"/>
      <c r="Q27" s="913"/>
      <c r="R27" s="913"/>
      <c r="S27" s="913"/>
      <c r="T27" s="913"/>
      <c r="U27" s="913"/>
      <c r="V27" s="913"/>
      <c r="W27" s="913"/>
      <c r="X27" s="913"/>
      <c r="Y27" s="913"/>
    </row>
    <row r="28" spans="1:28" ht="27" customHeight="1" x14ac:dyDescent="0.15">
      <c r="A28" s="405" t="s">
        <v>3213</v>
      </c>
      <c r="F28" s="913" t="str">
        <f>cst_wshyouka_BUILD_NAME</f>
        <v/>
      </c>
      <c r="G28" s="913"/>
      <c r="H28" s="913"/>
      <c r="I28" s="913"/>
      <c r="J28" s="913"/>
      <c r="K28" s="913"/>
      <c r="L28" s="913"/>
      <c r="M28" s="913"/>
      <c r="N28" s="913"/>
      <c r="O28" s="913"/>
      <c r="P28" s="913"/>
      <c r="Q28" s="913"/>
      <c r="R28" s="913"/>
      <c r="S28" s="913"/>
      <c r="T28" s="913"/>
      <c r="U28" s="913"/>
      <c r="V28" s="913"/>
      <c r="W28" s="913"/>
      <c r="X28" s="913"/>
      <c r="Y28" s="913"/>
    </row>
    <row r="29" spans="1:28" ht="27" customHeight="1" x14ac:dyDescent="0.15">
      <c r="A29" s="405" t="s">
        <v>3195</v>
      </c>
    </row>
    <row r="30" spans="1:28" ht="27" customHeight="1" x14ac:dyDescent="0.15">
      <c r="G30" s="412" t="s">
        <v>554</v>
      </c>
      <c r="H30" s="405" t="s">
        <v>3214</v>
      </c>
    </row>
    <row r="31" spans="1:28" ht="27" customHeight="1" x14ac:dyDescent="0.15">
      <c r="G31" s="412" t="s">
        <v>554</v>
      </c>
      <c r="H31" s="405" t="s">
        <v>3215</v>
      </c>
    </row>
    <row r="32" spans="1:28" ht="27" customHeight="1" x14ac:dyDescent="0.15">
      <c r="G32" s="412" t="s">
        <v>554</v>
      </c>
      <c r="H32" s="405" t="s">
        <v>3216</v>
      </c>
    </row>
    <row r="33" spans="1:25" ht="27" customHeight="1" x14ac:dyDescent="0.15">
      <c r="G33" s="412" t="s">
        <v>554</v>
      </c>
      <c r="H33" s="405" t="s">
        <v>3217</v>
      </c>
    </row>
    <row r="34" spans="1:25" ht="27" customHeight="1" x14ac:dyDescent="0.15">
      <c r="G34" s="412" t="s">
        <v>554</v>
      </c>
      <c r="H34" s="405" t="s">
        <v>3218</v>
      </c>
    </row>
    <row r="35" spans="1:25" ht="27" customHeight="1" x14ac:dyDescent="0.15"/>
    <row r="36" spans="1:25" ht="27" customHeight="1" x14ac:dyDescent="0.15">
      <c r="P36" s="413" t="str">
        <f ca="1">TEXT(TODAY(),"ggg")</f>
        <v>令和</v>
      </c>
      <c r="Q36" s="911"/>
      <c r="R36" s="911"/>
      <c r="S36" s="405" t="s">
        <v>436</v>
      </c>
      <c r="T36" s="911"/>
      <c r="U36" s="911"/>
      <c r="V36" s="405" t="s">
        <v>0</v>
      </c>
      <c r="W36" s="911"/>
      <c r="X36" s="911"/>
      <c r="Y36" s="405" t="s">
        <v>437</v>
      </c>
    </row>
    <row r="37" spans="1:25" ht="27" customHeight="1" x14ac:dyDescent="0.15">
      <c r="A37" s="405" t="s">
        <v>3199</v>
      </c>
    </row>
    <row r="38" spans="1:25" ht="27" customHeight="1" x14ac:dyDescent="0.15">
      <c r="B38" s="405" t="s">
        <v>3207</v>
      </c>
      <c r="G38" s="913" t="str">
        <f>cst_wshyouka_owner1__space_KANA</f>
        <v/>
      </c>
      <c r="H38" s="913"/>
      <c r="I38" s="913"/>
      <c r="J38" s="913"/>
      <c r="K38" s="913"/>
      <c r="L38" s="913"/>
      <c r="M38" s="913"/>
      <c r="N38" s="405" t="s">
        <v>3207</v>
      </c>
      <c r="O38" s="414"/>
      <c r="P38" s="414"/>
      <c r="Q38" s="414"/>
      <c r="R38" s="414"/>
      <c r="S38" s="913" t="str">
        <f>cst_wshyouka_owner2__space_KANA</f>
        <v/>
      </c>
      <c r="T38" s="913"/>
      <c r="U38" s="913"/>
      <c r="V38" s="913"/>
      <c r="W38" s="913"/>
      <c r="X38" s="913"/>
      <c r="Y38" s="913"/>
    </row>
    <row r="39" spans="1:25" ht="27" customHeight="1" x14ac:dyDescent="0.15">
      <c r="B39" s="405" t="s">
        <v>3190</v>
      </c>
      <c r="F39" s="913" t="str">
        <f>cst_wshyouka_owner1__space3</f>
        <v/>
      </c>
      <c r="G39" s="913"/>
      <c r="H39" s="913"/>
      <c r="I39" s="913"/>
      <c r="J39" s="913"/>
      <c r="K39" s="913"/>
      <c r="L39" s="913"/>
      <c r="M39" s="913"/>
      <c r="N39" s="405" t="s">
        <v>3190</v>
      </c>
      <c r="O39" s="414"/>
      <c r="P39" s="414"/>
      <c r="Q39" s="414"/>
      <c r="R39" s="913" t="str">
        <f>cst_wshyouka_owner2__space3</f>
        <v/>
      </c>
      <c r="S39" s="913"/>
      <c r="T39" s="913"/>
      <c r="U39" s="913"/>
      <c r="V39" s="913"/>
      <c r="W39" s="913"/>
      <c r="X39" s="913"/>
      <c r="Y39" s="913"/>
    </row>
    <row r="40" spans="1:25" ht="27" customHeight="1" x14ac:dyDescent="0.15">
      <c r="B40" s="405" t="s">
        <v>3187</v>
      </c>
      <c r="F40" s="405" t="s">
        <v>3110</v>
      </c>
      <c r="G40" s="913" t="str">
        <f>cst_wshyouka_owner1_ZIP</f>
        <v/>
      </c>
      <c r="H40" s="913"/>
      <c r="I40" s="913"/>
      <c r="J40" s="913"/>
      <c r="K40" s="913"/>
      <c r="L40" s="913"/>
      <c r="M40" s="913"/>
      <c r="N40" s="405" t="s">
        <v>3187</v>
      </c>
      <c r="R40" s="405" t="s">
        <v>3110</v>
      </c>
      <c r="S40" s="913" t="str">
        <f>cst_wshyouka_owner2_ZIP</f>
        <v/>
      </c>
      <c r="T40" s="913"/>
      <c r="U40" s="913"/>
      <c r="V40" s="913"/>
      <c r="W40" s="913"/>
      <c r="X40" s="913"/>
      <c r="Y40" s="913"/>
    </row>
    <row r="41" spans="1:25" ht="27" customHeight="1" x14ac:dyDescent="0.15">
      <c r="B41" s="405" t="s">
        <v>3200</v>
      </c>
      <c r="E41" s="913" t="str">
        <f>cst_wshyouka_owner1__address</f>
        <v/>
      </c>
      <c r="F41" s="913"/>
      <c r="G41" s="913"/>
      <c r="H41" s="913"/>
      <c r="I41" s="913"/>
      <c r="J41" s="913"/>
      <c r="K41" s="913"/>
      <c r="L41" s="913"/>
      <c r="M41" s="913"/>
      <c r="N41" s="405" t="s">
        <v>3200</v>
      </c>
      <c r="O41" s="414"/>
      <c r="P41" s="414"/>
      <c r="Q41" s="913" t="str">
        <f>cst_wshyouka_owner2__address</f>
        <v/>
      </c>
      <c r="R41" s="913"/>
      <c r="S41" s="913"/>
      <c r="T41" s="913"/>
      <c r="U41" s="913"/>
      <c r="V41" s="913"/>
      <c r="W41" s="913"/>
      <c r="X41" s="913"/>
      <c r="Y41" s="913"/>
    </row>
    <row r="42" spans="1:25" ht="27" customHeight="1" x14ac:dyDescent="0.15">
      <c r="B42" s="405" t="s">
        <v>3188</v>
      </c>
      <c r="F42" s="913" t="str">
        <f>cst_wshyouka_owner1_TEL</f>
        <v/>
      </c>
      <c r="G42" s="913"/>
      <c r="H42" s="913"/>
      <c r="I42" s="913"/>
      <c r="J42" s="913"/>
      <c r="K42" s="913"/>
      <c r="L42" s="913"/>
      <c r="M42" s="913"/>
      <c r="N42" s="405" t="s">
        <v>3188</v>
      </c>
      <c r="R42" s="913" t="str">
        <f>cst_wshyouka_owner2_TEL</f>
        <v/>
      </c>
      <c r="S42" s="913"/>
      <c r="T42" s="913"/>
      <c r="U42" s="913"/>
      <c r="V42" s="913"/>
      <c r="W42" s="913"/>
      <c r="X42" s="913"/>
      <c r="Y42" s="913"/>
    </row>
  </sheetData>
  <mergeCells count="30">
    <mergeCell ref="E41:M41"/>
    <mergeCell ref="Q41:Y41"/>
    <mergeCell ref="F42:M42"/>
    <mergeCell ref="R42:Y42"/>
    <mergeCell ref="G38:M38"/>
    <mergeCell ref="S38:Y38"/>
    <mergeCell ref="F39:M39"/>
    <mergeCell ref="R39:Y39"/>
    <mergeCell ref="G40:M40"/>
    <mergeCell ref="S40:Y40"/>
    <mergeCell ref="Q36:R36"/>
    <mergeCell ref="T36:U36"/>
    <mergeCell ref="W36:X36"/>
    <mergeCell ref="H18:I18"/>
    <mergeCell ref="P18:Q18"/>
    <mergeCell ref="V18:X18"/>
    <mergeCell ref="D19:Y19"/>
    <mergeCell ref="G20:J20"/>
    <mergeCell ref="E21:Y21"/>
    <mergeCell ref="F22:L22"/>
    <mergeCell ref="A24:Y24"/>
    <mergeCell ref="A25:Y25"/>
    <mergeCell ref="F27:Y27"/>
    <mergeCell ref="F28:Y28"/>
    <mergeCell ref="E17:Y17"/>
    <mergeCell ref="A3:Y4"/>
    <mergeCell ref="A13:Y14"/>
    <mergeCell ref="F16:H16"/>
    <mergeCell ref="L16:O16"/>
    <mergeCell ref="S16:W16"/>
  </mergeCells>
  <phoneticPr fontId="32"/>
  <dataValidations count="1">
    <dataValidation type="list" allowBlank="1" showInputMessage="1" showErrorMessage="1" sqref="G30:G34" xr:uid="{00000000-0002-0000-1600-000000000000}">
      <formula1>"□,■"</formula1>
    </dataValidation>
  </dataValidations>
  <pageMargins left="0.70866141732283472" right="0.70866141732283472" top="0.74803149606299213" bottom="0.55118110236220474" header="0.31496062992125984" footer="0.31496062992125984"/>
  <pageSetup paperSize="9" orientation="portrait" blackAndWhite="1" r:id="rId1"/>
  <rowBreaks count="1" manualBreakCount="1">
    <brk id="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6:V1345"/>
  <sheetViews>
    <sheetView zoomScaleNormal="100" workbookViewId="0">
      <pane xSplit="2" ySplit="6" topLeftCell="C830" activePane="bottomRight" state="frozen"/>
      <selection pane="topRight"/>
      <selection pane="bottomLeft"/>
      <selection pane="bottomRight" activeCell="D712" sqref="D712"/>
    </sheetView>
  </sheetViews>
  <sheetFormatPr defaultColWidth="9" defaultRowHeight="15" customHeight="1" x14ac:dyDescent="0.15"/>
  <cols>
    <col min="1" max="1" width="15.625" style="14" customWidth="1"/>
    <col min="2" max="2" width="31.375" style="14" customWidth="1"/>
    <col min="3" max="3" width="37.875" style="14" customWidth="1"/>
    <col min="4" max="4" width="15.75" style="14" customWidth="1"/>
    <col min="5" max="5" width="42.25" style="14" customWidth="1"/>
    <col min="6" max="6" width="27.625" style="14" customWidth="1"/>
    <col min="7" max="7" width="35.625" style="14" customWidth="1"/>
    <col min="8" max="8" width="9" style="14" customWidth="1"/>
    <col min="9" max="16384" width="9" style="14"/>
  </cols>
  <sheetData>
    <row r="6" spans="1:8" ht="15" customHeight="1" x14ac:dyDescent="0.15">
      <c r="A6" s="14" t="s">
        <v>114</v>
      </c>
      <c r="C6" s="14" t="s">
        <v>115</v>
      </c>
      <c r="D6" s="14" t="s">
        <v>116</v>
      </c>
      <c r="E6" s="14" t="s">
        <v>117</v>
      </c>
      <c r="F6" s="14" t="s">
        <v>118</v>
      </c>
      <c r="G6" s="115" t="s">
        <v>460</v>
      </c>
    </row>
    <row r="7" spans="1:8" ht="15" customHeight="1" x14ac:dyDescent="0.15">
      <c r="A7" s="1" t="s">
        <v>85</v>
      </c>
      <c r="B7" s="24"/>
      <c r="C7" s="14" t="s">
        <v>86</v>
      </c>
      <c r="D7" s="141"/>
      <c r="E7" s="14" t="s">
        <v>87</v>
      </c>
      <c r="F7" s="141" t="str">
        <f>IF(_output_title="","",_output_title)</f>
        <v/>
      </c>
    </row>
    <row r="8" spans="1:8" ht="15" customHeight="1" x14ac:dyDescent="0.15">
      <c r="A8" s="8"/>
      <c r="B8" s="114"/>
      <c r="D8" s="141"/>
      <c r="F8" s="141"/>
    </row>
    <row r="9" spans="1:8" ht="15" customHeight="1" x14ac:dyDescent="0.15">
      <c r="A9" s="1" t="s">
        <v>82</v>
      </c>
      <c r="B9" s="24"/>
      <c r="C9" s="14" t="s">
        <v>83</v>
      </c>
      <c r="D9" s="141" t="s">
        <v>3179</v>
      </c>
      <c r="E9" s="14" t="s">
        <v>84</v>
      </c>
      <c r="F9" s="141" t="str">
        <f>IF(_output_sheetname="","",_output_sheetname)</f>
        <v>取下げ届出書</v>
      </c>
    </row>
    <row r="10" spans="1:8" ht="15" customHeight="1" x14ac:dyDescent="0.15">
      <c r="A10" s="8"/>
      <c r="B10" s="114"/>
      <c r="D10" s="141"/>
      <c r="F10" s="141"/>
    </row>
    <row r="11" spans="1:8" ht="15" customHeight="1" x14ac:dyDescent="0.15">
      <c r="A11" s="42" t="s">
        <v>781</v>
      </c>
      <c r="B11" s="43"/>
      <c r="C11" s="14" t="s">
        <v>119</v>
      </c>
      <c r="D11" s="141" t="s">
        <v>1356</v>
      </c>
      <c r="E11" s="14" t="s">
        <v>167</v>
      </c>
      <c r="F11" s="141" t="str">
        <f>IF(wsjob_TARGET_KIND__label="","",wsjob_TARGET_KIND__label)</f>
        <v>建築物</v>
      </c>
      <c r="G11" s="15"/>
      <c r="H11" s="15"/>
    </row>
    <row r="12" spans="1:8" ht="62.1" customHeight="1" x14ac:dyDescent="0.15">
      <c r="A12" s="79"/>
      <c r="B12" s="73" t="s">
        <v>1353</v>
      </c>
      <c r="C12" s="14" t="s">
        <v>1373</v>
      </c>
      <c r="D12" s="141">
        <v>100</v>
      </c>
      <c r="E12" s="14" t="s">
        <v>1372</v>
      </c>
      <c r="F12" s="141" t="str">
        <f ca="1">IF(wsjob_JOB_SET_KIND="","",IF(ISERROR(MATCH(wsjob_JOB_SET_KIND,cls_JOB_SET_KIND_erea,0)),"未設定コード",OFFSET(cls_JOB_SET_KIND_base_point,MATCH(wsjob_JOB_SET_KIND,cls_JOB_SET_KIND_erea,0),0)))</f>
        <v>基準法</v>
      </c>
      <c r="G12" s="53" t="s">
        <v>1354</v>
      </c>
      <c r="H12" s="15"/>
    </row>
    <row r="13" spans="1:8" ht="62.1" customHeight="1" x14ac:dyDescent="0.15">
      <c r="A13" s="79"/>
      <c r="B13" s="73" t="s">
        <v>1352</v>
      </c>
      <c r="C13" s="14" t="s">
        <v>453</v>
      </c>
      <c r="D13" s="141">
        <v>1</v>
      </c>
      <c r="E13" s="14" t="s">
        <v>454</v>
      </c>
      <c r="F13" s="141" t="str">
        <f ca="1">IF(wsjob_TARGET_KIND="","",IF(ISERROR(MATCH(wsjob_TARGET_KIND,cls_TARGET_KIND_erea,0)),"未設定コード",OFFSET(cls_TARGET_KIND_base_point,MATCH(wsjob_TARGET_KIND,cls_TARGET_KIND_erea,0),0)))</f>
        <v>建築物</v>
      </c>
      <c r="G13" s="53" t="s">
        <v>1351</v>
      </c>
      <c r="H13" s="15"/>
    </row>
    <row r="14" spans="1:8" ht="16.5" customHeight="1" x14ac:dyDescent="0.15">
      <c r="A14" s="79"/>
      <c r="B14" s="73" t="s">
        <v>1356</v>
      </c>
      <c r="D14" s="15"/>
      <c r="E14" s="14" t="s">
        <v>2728</v>
      </c>
      <c r="F14" s="141" t="str">
        <f ca="1">IF(cst_wsjob_TARGET_KIND="建築物","■","□")</f>
        <v>■</v>
      </c>
      <c r="G14" s="53"/>
      <c r="H14" s="15"/>
    </row>
    <row r="15" spans="1:8" ht="16.5" customHeight="1" x14ac:dyDescent="0.15">
      <c r="A15" s="79"/>
      <c r="B15" s="73" t="s">
        <v>1357</v>
      </c>
      <c r="D15" s="15"/>
      <c r="E15" s="14" t="s">
        <v>2729</v>
      </c>
      <c r="F15" s="141" t="str">
        <f ca="1">IF(cst_wsjob_TARGET_KIND="昇降機","■","□")</f>
        <v>□</v>
      </c>
      <c r="G15" s="53"/>
      <c r="H15" s="15"/>
    </row>
    <row r="16" spans="1:8" ht="16.5" customHeight="1" x14ac:dyDescent="0.15">
      <c r="A16" s="79"/>
      <c r="B16" s="73" t="s">
        <v>2730</v>
      </c>
      <c r="D16" s="15"/>
      <c r="E16" s="14" t="s">
        <v>2731</v>
      </c>
      <c r="F16" s="141" t="str">
        <f ca="1">IF(cst_wsjob_TARGET_KIND="工作物","■","□")</f>
        <v>□</v>
      </c>
      <c r="G16" s="53"/>
      <c r="H16" s="15"/>
    </row>
    <row r="17" spans="1:8" ht="62.1" customHeight="1" x14ac:dyDescent="0.15">
      <c r="A17" s="79"/>
      <c r="B17" s="73" t="s">
        <v>1350</v>
      </c>
      <c r="C17" s="14" t="s">
        <v>451</v>
      </c>
      <c r="D17" s="141">
        <v>101</v>
      </c>
      <c r="E17" s="14" t="s">
        <v>452</v>
      </c>
      <c r="F17" s="141" t="str">
        <f ca="1">IF(wsjob_JOB_KIND="","",IF(ISERROR(MATCH(wsjob_JOB_KIND,cls_JOB_KIND_erea,0)),"未設定コード",OFFSET(cls_JOB_KIND_base_point,MATCH(wsjob_JOB_KIND,cls_JOB_KIND_erea,0),0)))</f>
        <v>確認申請</v>
      </c>
      <c r="G17" s="53" t="s">
        <v>1371</v>
      </c>
      <c r="H17" s="15"/>
    </row>
    <row r="18" spans="1:8" ht="16.5" customHeight="1" x14ac:dyDescent="0.15">
      <c r="A18" s="79"/>
      <c r="B18" s="138"/>
      <c r="D18" s="15"/>
      <c r="E18" s="14" t="s">
        <v>2815</v>
      </c>
      <c r="F18" s="141" t="str">
        <f>IF(wsjob_JOB_KIND=101,"☑","□")</f>
        <v>☑</v>
      </c>
      <c r="G18" s="53"/>
      <c r="H18" s="15"/>
    </row>
    <row r="19" spans="1:8" ht="16.5" customHeight="1" x14ac:dyDescent="0.15">
      <c r="A19" s="79"/>
      <c r="B19" s="138"/>
      <c r="D19" s="15"/>
      <c r="E19" s="14" t="s">
        <v>2816</v>
      </c>
      <c r="F19" s="141" t="str">
        <f>IF(wsjob_JOB_KIND=103,"☑","□")</f>
        <v>□</v>
      </c>
      <c r="G19" s="53"/>
      <c r="H19" s="15"/>
    </row>
    <row r="20" spans="1:8" ht="16.5" customHeight="1" x14ac:dyDescent="0.15">
      <c r="A20" s="79"/>
      <c r="B20" s="138"/>
      <c r="D20" s="15"/>
      <c r="E20" s="14" t="s">
        <v>2817</v>
      </c>
      <c r="F20" s="141" t="str">
        <f>IF(wsjob_JOB_KIND=104,"☑","□")</f>
        <v>□</v>
      </c>
      <c r="G20" s="53"/>
      <c r="H20" s="15"/>
    </row>
    <row r="21" spans="1:8" ht="15" customHeight="1" x14ac:dyDescent="0.15">
      <c r="A21" s="80"/>
      <c r="B21" s="81"/>
      <c r="F21" s="15"/>
      <c r="G21" s="15"/>
      <c r="H21" s="15"/>
    </row>
    <row r="22" spans="1:8" ht="15" customHeight="1" x14ac:dyDescent="0.15">
      <c r="A22" s="128"/>
      <c r="B22" s="129"/>
      <c r="D22" s="15"/>
      <c r="F22" s="15"/>
      <c r="G22" s="15"/>
      <c r="H22" s="15"/>
    </row>
    <row r="23" spans="1:8" ht="15" customHeight="1" x14ac:dyDescent="0.15">
      <c r="A23" s="143" t="s">
        <v>2420</v>
      </c>
      <c r="B23" s="144"/>
    </row>
    <row r="24" spans="1:8" ht="15" customHeight="1" x14ac:dyDescent="0.15">
      <c r="A24" s="145"/>
      <c r="B24" s="147" t="s">
        <v>2482</v>
      </c>
      <c r="E24" s="14" t="s">
        <v>2481</v>
      </c>
      <c r="F24" s="40">
        <f ca="1">IF(wsjob_JOB_KIND="","",IF(ISERROR(MATCH(wsjob_JOB_KIND,cls_JOB_KIND_erea,0)),"",OFFSET(cls_JOB_KIND_base_point,MATCH(wsjob_JOB_KIND,cls_JOB_KIND_erea,0),1)))</f>
        <v>1</v>
      </c>
      <c r="G24" s="14" t="s">
        <v>2480</v>
      </c>
    </row>
    <row r="25" spans="1:8" ht="15" customHeight="1" x14ac:dyDescent="0.15">
      <c r="A25" s="145"/>
      <c r="B25" s="147" t="s">
        <v>2421</v>
      </c>
      <c r="E25" s="14" t="s">
        <v>2496</v>
      </c>
      <c r="F25" s="40">
        <f ca="1">IF(AND(chk_JOB_KIND_kakunin=1,wskakunin_koutei01_KOUTEI_TEXT&lt;&gt;""),1,"")</f>
        <v>1</v>
      </c>
    </row>
    <row r="26" spans="1:8" ht="15" customHeight="1" x14ac:dyDescent="0.15">
      <c r="A26" s="145"/>
      <c r="B26" s="147" t="s">
        <v>2422</v>
      </c>
      <c r="E26" s="14" t="s">
        <v>2497</v>
      </c>
      <c r="F26" s="40" t="str">
        <f ca="1">IF(AND(chk_JOB_KIND_kakunin=1,wskakunin_koutei02_KOUTEI_TEXT&lt;&gt;""),1,"")</f>
        <v/>
      </c>
    </row>
    <row r="27" spans="1:8" ht="15" customHeight="1" x14ac:dyDescent="0.15">
      <c r="A27" s="145"/>
      <c r="B27" s="147" t="s">
        <v>2423</v>
      </c>
      <c r="E27" s="14" t="s">
        <v>2498</v>
      </c>
      <c r="F27" s="40" t="str">
        <f ca="1">IF(AND(chk_JOB_KIND_kakunin=1,wskakunin_koutei03_KOUTEI_TEXT&lt;&gt;""),1,"")</f>
        <v/>
      </c>
    </row>
    <row r="28" spans="1:8" ht="15" customHeight="1" x14ac:dyDescent="0.15">
      <c r="A28" s="145"/>
      <c r="B28" s="172" t="s">
        <v>2494</v>
      </c>
      <c r="E28" s="14" t="s">
        <v>2499</v>
      </c>
      <c r="F28" s="40">
        <f ca="1">IF(chk_JOB_KIND_kakunin=3,IF(wskakunin_koutei_izen01_KOUTEI_TEXT="",30,IF(wskakunin_koutei_izen02_KOUTEI_TEXT&lt;&gt;"",32,31)),IF(chk_JOB_KIND_kakunin=1,10,IF(chk_JOB_KIND_kakunin=4,40,"")))</f>
        <v>10</v>
      </c>
      <c r="G28" s="14" t="s">
        <v>2495</v>
      </c>
    </row>
    <row r="29" spans="1:8" ht="15" customHeight="1" x14ac:dyDescent="0.15">
      <c r="A29" s="145"/>
      <c r="B29" s="172" t="s">
        <v>10</v>
      </c>
      <c r="E29" s="14" t="s">
        <v>2479</v>
      </c>
      <c r="F29" s="40" t="str">
        <f ca="1">IF(chk_JOB_KIND_kakunin=1,cst_shinsei_ISSUE_NO,cst_wskakunin_LAST_ISSUE_NO)</f>
        <v/>
      </c>
      <c r="G29" s="14" t="s">
        <v>2478</v>
      </c>
    </row>
    <row r="30" spans="1:8" ht="15" customHeight="1" x14ac:dyDescent="0.15">
      <c r="A30" s="146"/>
      <c r="B30" s="148"/>
      <c r="E30" s="14" t="s">
        <v>2726</v>
      </c>
      <c r="F30" s="40" t="str">
        <f ca="1">IF(chk_JOB_KIND_kakunin=1,cst_shinsei_ISSUE_DATE,cst_wskakunin_LAST_ISSUE_DATE)</f>
        <v/>
      </c>
    </row>
    <row r="31" spans="1:8" ht="15" customHeight="1" x14ac:dyDescent="0.15">
      <c r="A31" s="30"/>
    </row>
    <row r="32" spans="1:8" ht="15" customHeight="1" x14ac:dyDescent="0.15">
      <c r="A32" s="202" t="s">
        <v>2798</v>
      </c>
      <c r="B32" s="203"/>
      <c r="C32" s="14" t="s">
        <v>2799</v>
      </c>
      <c r="D32" s="233">
        <v>45665</v>
      </c>
      <c r="E32" s="14" t="s">
        <v>2800</v>
      </c>
      <c r="F32" s="233">
        <f>IF(shinsei_PROVO_DATE="","",shinsei_PROVO_DATE)</f>
        <v>45665</v>
      </c>
    </row>
    <row r="33" spans="1:8" ht="15" customHeight="1" x14ac:dyDescent="0.15">
      <c r="A33" s="202" t="s">
        <v>2801</v>
      </c>
      <c r="B33" s="203"/>
      <c r="C33" s="14" t="s">
        <v>2802</v>
      </c>
      <c r="D33" s="215">
        <v>745613</v>
      </c>
      <c r="E33" s="14" t="s">
        <v>2803</v>
      </c>
      <c r="F33" s="141">
        <f>IF(shinsei_PROVO_NO="","",shinsei_PROVO_NO)</f>
        <v>745613</v>
      </c>
    </row>
    <row r="34" spans="1:8" ht="15" customHeight="1" x14ac:dyDescent="0.15">
      <c r="A34" s="30"/>
    </row>
    <row r="35" spans="1:8" ht="15" customHeight="1" x14ac:dyDescent="0.15">
      <c r="A35" s="149" t="s">
        <v>2447</v>
      </c>
      <c r="B35" s="150"/>
      <c r="D35" s="15"/>
      <c r="F35" s="15"/>
      <c r="G35" s="15"/>
      <c r="H35" s="15"/>
    </row>
    <row r="36" spans="1:8" ht="15" customHeight="1" x14ac:dyDescent="0.15">
      <c r="A36" s="151" t="s">
        <v>97</v>
      </c>
      <c r="B36" s="152"/>
      <c r="C36" s="14" t="s">
        <v>120</v>
      </c>
      <c r="D36" s="213"/>
      <c r="E36" s="14" t="s">
        <v>138</v>
      </c>
      <c r="F36" s="141" t="str">
        <f>IF(shinsei_UKETUKE_NO="","",shinsei_UKETUKE_NO)</f>
        <v/>
      </c>
      <c r="G36" s="15"/>
      <c r="H36" s="15"/>
    </row>
    <row r="37" spans="1:8" ht="15" customHeight="1" x14ac:dyDescent="0.15">
      <c r="A37" s="153"/>
      <c r="B37" s="154"/>
      <c r="D37" s="30"/>
      <c r="F37" s="15"/>
      <c r="G37" s="15"/>
      <c r="H37" s="15"/>
    </row>
    <row r="38" spans="1:8" ht="15" customHeight="1" x14ac:dyDescent="0.15">
      <c r="A38" s="155" t="s">
        <v>98</v>
      </c>
      <c r="B38" s="156"/>
      <c r="C38" s="14" t="s">
        <v>121</v>
      </c>
      <c r="D38" s="233"/>
      <c r="E38" s="14" t="s">
        <v>139</v>
      </c>
      <c r="F38" s="233" t="str">
        <f>IF(shinsei_HIKIUKE_DATE="","",shinsei_HIKIUKE_DATE)</f>
        <v/>
      </c>
      <c r="G38" s="15"/>
      <c r="H38" s="15"/>
    </row>
    <row r="39" spans="1:8" ht="15" customHeight="1" x14ac:dyDescent="0.15">
      <c r="A39" s="157"/>
      <c r="B39" s="158"/>
      <c r="D39" s="96"/>
      <c r="F39" s="15"/>
      <c r="G39" s="15"/>
      <c r="H39" s="15"/>
    </row>
    <row r="40" spans="1:8" ht="15" customHeight="1" x14ac:dyDescent="0.15">
      <c r="A40" s="159" t="s">
        <v>10</v>
      </c>
      <c r="B40" s="160"/>
      <c r="C40" s="14" t="s">
        <v>122</v>
      </c>
      <c r="D40" s="213"/>
      <c r="E40" s="14" t="s">
        <v>168</v>
      </c>
      <c r="F40" s="141" t="str">
        <f>IF(shinsei_ISSUE_NO="","",shinsei_ISSUE_NO)</f>
        <v/>
      </c>
      <c r="G40" s="15"/>
      <c r="H40" s="15"/>
    </row>
    <row r="41" spans="1:8" ht="15" customHeight="1" x14ac:dyDescent="0.15">
      <c r="A41" s="161" t="s">
        <v>10</v>
      </c>
      <c r="B41" s="211"/>
      <c r="C41" s="14" t="s">
        <v>2822</v>
      </c>
      <c r="D41" s="215"/>
      <c r="E41" s="14" t="s">
        <v>2823</v>
      </c>
      <c r="F41" s="141" t="str">
        <f>IF(shinsei_KAKU_SUMI_NO="","",shinsei_KAKU_SUMI_NO)</f>
        <v/>
      </c>
      <c r="G41" s="15"/>
      <c r="H41" s="15"/>
    </row>
    <row r="42" spans="1:8" ht="15" customHeight="1" x14ac:dyDescent="0.15">
      <c r="A42" s="155" t="s">
        <v>99</v>
      </c>
      <c r="B42" s="156"/>
      <c r="G42" s="15"/>
      <c r="H42" s="15"/>
    </row>
    <row r="43" spans="1:8" ht="15" customHeight="1" x14ac:dyDescent="0.15">
      <c r="A43" s="161"/>
      <c r="B43" s="162" t="s">
        <v>1380</v>
      </c>
      <c r="C43" s="14" t="s">
        <v>456</v>
      </c>
      <c r="D43" s="233"/>
      <c r="E43" s="14" t="s">
        <v>140</v>
      </c>
      <c r="F43" s="233" t="str">
        <f>IF(shinsei_ISSUE_DATE="","",shinsei_ISSUE_DATE)</f>
        <v/>
      </c>
      <c r="G43" s="15"/>
      <c r="H43" s="15"/>
    </row>
    <row r="44" spans="1:8" ht="15" customHeight="1" x14ac:dyDescent="0.15">
      <c r="A44" s="163"/>
      <c r="B44" s="164"/>
      <c r="D44" s="96"/>
      <c r="G44" s="15"/>
      <c r="H44" s="15"/>
    </row>
    <row r="45" spans="1:8" ht="15" customHeight="1" x14ac:dyDescent="0.15">
      <c r="A45" s="159" t="s">
        <v>472</v>
      </c>
      <c r="B45" s="160"/>
      <c r="C45" s="15" t="s">
        <v>2668</v>
      </c>
      <c r="D45" s="141"/>
      <c r="E45" s="14" t="s">
        <v>2669</v>
      </c>
      <c r="F45" s="40" t="str">
        <f>IF(shinsei_ISSUE_KOUFU_NAME="","",shinsei_ISSUE_KOUFU_NAME)</f>
        <v/>
      </c>
    </row>
    <row r="46" spans="1:8" ht="15" customHeight="1" x14ac:dyDescent="0.15">
      <c r="A46" s="159"/>
      <c r="B46" s="160"/>
      <c r="D46" s="96"/>
      <c r="G46" s="15"/>
      <c r="H46" s="15"/>
    </row>
    <row r="47" spans="1:8" ht="15" customHeight="1" x14ac:dyDescent="0.15">
      <c r="A47" s="195" t="s">
        <v>2769</v>
      </c>
      <c r="B47" s="196"/>
      <c r="D47" s="15"/>
      <c r="F47" s="15"/>
      <c r="G47" s="15"/>
      <c r="H47" s="15"/>
    </row>
    <row r="48" spans="1:8" ht="15" customHeight="1" x14ac:dyDescent="0.15">
      <c r="A48" s="197"/>
      <c r="B48" s="198" t="s">
        <v>484</v>
      </c>
      <c r="C48" s="14" t="s">
        <v>2770</v>
      </c>
      <c r="D48" s="15"/>
      <c r="E48" s="14" t="s">
        <v>2771</v>
      </c>
      <c r="F48" s="15" t="str">
        <f>IF(shinsei_build_p6_01_PAGE6_KOUZOU_KEISAN_KIND__005=1,"■","□")</f>
        <v>□</v>
      </c>
      <c r="G48" s="15"/>
      <c r="H48" s="15"/>
    </row>
    <row r="49" spans="1:8" ht="15" customHeight="1" x14ac:dyDescent="0.15">
      <c r="A49" s="197"/>
      <c r="B49" s="198" t="s">
        <v>2772</v>
      </c>
      <c r="C49" s="14" t="s">
        <v>2773</v>
      </c>
      <c r="D49" s="15"/>
      <c r="E49" s="14" t="s">
        <v>2774</v>
      </c>
      <c r="F49" s="15" t="str">
        <f>IF(shinsei_build_p6_01_PAGE6_KOUZOU_KEISAN_KIND__004=1,"■","□")</f>
        <v>□</v>
      </c>
      <c r="G49" s="15"/>
      <c r="H49" s="15"/>
    </row>
    <row r="50" spans="1:8" ht="15" customHeight="1" x14ac:dyDescent="0.15">
      <c r="A50" s="197"/>
      <c r="B50" s="198" t="s">
        <v>2775</v>
      </c>
      <c r="C50" s="14" t="s">
        <v>2776</v>
      </c>
      <c r="D50" s="15"/>
      <c r="E50" s="14" t="s">
        <v>2777</v>
      </c>
      <c r="F50" s="15" t="str">
        <f>IF(shinsei_build_p6_01_PAGE6_KOUZOU_KEISAN_KIND__002=1,"■","□")</f>
        <v>□</v>
      </c>
      <c r="G50" s="15"/>
      <c r="H50" s="15"/>
    </row>
    <row r="51" spans="1:8" ht="15" customHeight="1" x14ac:dyDescent="0.15">
      <c r="A51" s="128" t="s">
        <v>2840</v>
      </c>
      <c r="B51" s="129"/>
      <c r="C51" s="14" t="s">
        <v>2841</v>
      </c>
      <c r="D51" s="141" t="s">
        <v>3465</v>
      </c>
      <c r="E51" s="14" t="s">
        <v>2842</v>
      </c>
      <c r="F51" s="141" t="str">
        <f>IF(wskakunin_KIKAN_NAME="","",wskakunin_KIKAN_NAME)</f>
        <v>株式会社香川県建築住宅センター</v>
      </c>
      <c r="G51" s="15"/>
      <c r="H51" s="15"/>
    </row>
    <row r="52" spans="1:8" ht="15" customHeight="1" x14ac:dyDescent="0.15">
      <c r="A52" s="2" t="s">
        <v>457</v>
      </c>
      <c r="B52" s="131"/>
      <c r="G52" s="15"/>
      <c r="H52" s="15"/>
    </row>
    <row r="53" spans="1:8" ht="15" customHeight="1" x14ac:dyDescent="0.15">
      <c r="A53" s="9"/>
      <c r="B53" s="132" t="s">
        <v>457</v>
      </c>
      <c r="C53" s="14" t="s">
        <v>2448</v>
      </c>
      <c r="D53" s="237"/>
      <c r="E53" s="14" t="s">
        <v>455</v>
      </c>
      <c r="F53" s="237" t="str">
        <f>IF(wskakunin_SHINSEI_DATE="","",wskakunin_SHINSEI_DATE)</f>
        <v/>
      </c>
      <c r="H53" s="15"/>
    </row>
    <row r="54" spans="1:8" ht="15" customHeight="1" x14ac:dyDescent="0.15">
      <c r="A54" s="9"/>
      <c r="B54" s="345"/>
      <c r="C54" s="14" t="s">
        <v>3050</v>
      </c>
      <c r="D54" s="237"/>
      <c r="E54" s="14" t="s">
        <v>3053</v>
      </c>
      <c r="F54" s="237" t="str">
        <f>IF(wskakunin_SHINSEI_DATE__e="","",wskakunin_SHINSEI_DATE__e)</f>
        <v/>
      </c>
      <c r="H54" s="15"/>
    </row>
    <row r="55" spans="1:8" ht="15" customHeight="1" x14ac:dyDescent="0.15">
      <c r="A55" s="9"/>
      <c r="B55" s="345"/>
      <c r="C55" s="14" t="s">
        <v>3051</v>
      </c>
      <c r="D55" s="237"/>
      <c r="E55" s="14" t="s">
        <v>3054</v>
      </c>
      <c r="F55" s="237" t="str">
        <f>IF(wskakunin_SHINSEI_DATE__month="","",wskakunin_SHINSEI_DATE__month)</f>
        <v/>
      </c>
      <c r="H55" s="15"/>
    </row>
    <row r="56" spans="1:8" ht="15" customHeight="1" x14ac:dyDescent="0.15">
      <c r="A56" s="9"/>
      <c r="B56" s="345"/>
      <c r="C56" s="14" t="s">
        <v>3052</v>
      </c>
      <c r="D56" s="237"/>
      <c r="E56" s="14" t="s">
        <v>3055</v>
      </c>
      <c r="F56" s="237" t="str">
        <f>IF(wskakunin_SHINSEI_DATE__day="","",wskakunin_SHINSEI_DATE__day)</f>
        <v/>
      </c>
      <c r="H56" s="15"/>
    </row>
    <row r="57" spans="1:8" ht="15" customHeight="1" x14ac:dyDescent="0.15">
      <c r="A57" s="42" t="s">
        <v>471</v>
      </c>
      <c r="B57" s="45"/>
      <c r="G57" s="15"/>
      <c r="H57" s="15"/>
    </row>
    <row r="58" spans="1:8" ht="15" customHeight="1" x14ac:dyDescent="0.15">
      <c r="A58" s="79"/>
      <c r="B58" s="130" t="s">
        <v>10</v>
      </c>
      <c r="C58" s="14" t="s">
        <v>474</v>
      </c>
      <c r="D58" s="215"/>
      <c r="E58" s="14" t="s">
        <v>475</v>
      </c>
      <c r="F58" s="141" t="str">
        <f>IF(wskakunin_LAST_ISSUE_NO="","",wskakunin_LAST_ISSUE_NO)</f>
        <v/>
      </c>
      <c r="G58" s="15"/>
      <c r="H58" s="15"/>
    </row>
    <row r="59" spans="1:8" ht="15" customHeight="1" x14ac:dyDescent="0.15">
      <c r="A59" s="79"/>
      <c r="B59" s="130" t="s">
        <v>99</v>
      </c>
      <c r="C59" s="14" t="s">
        <v>476</v>
      </c>
      <c r="D59" s="233"/>
      <c r="E59" s="14" t="s">
        <v>477</v>
      </c>
      <c r="F59" s="233" t="str">
        <f>IF(wskakunin_LAST_ISSUE_DATE="","",wskakunin_LAST_ISSUE_DATE)</f>
        <v/>
      </c>
      <c r="G59" s="15"/>
      <c r="H59" s="15"/>
    </row>
    <row r="60" spans="1:8" ht="15" customHeight="1" x14ac:dyDescent="0.15">
      <c r="A60" s="79"/>
      <c r="B60" s="208" t="s">
        <v>472</v>
      </c>
      <c r="C60" s="14" t="s">
        <v>478</v>
      </c>
      <c r="D60" s="215"/>
      <c r="E60" s="14" t="s">
        <v>479</v>
      </c>
      <c r="F60" s="141" t="str">
        <f>IF(wskakunin_LAST_ISSUE_NAME="","",wskakunin_LAST_ISSUE_NAME)</f>
        <v/>
      </c>
      <c r="G60" s="15"/>
      <c r="H60" s="15"/>
    </row>
    <row r="61" spans="1:8" ht="15" customHeight="1" x14ac:dyDescent="0.15">
      <c r="A61" s="79"/>
      <c r="B61" s="130" t="s">
        <v>473</v>
      </c>
      <c r="C61" s="14" t="s">
        <v>480</v>
      </c>
      <c r="D61" s="215"/>
      <c r="E61" s="14" t="s">
        <v>481</v>
      </c>
      <c r="F61" s="141" t="str">
        <f>IF(wskakunin_P1_HENKOU_GAIYOU="","",wskakunin_P1_HENKOU_GAIYOU)</f>
        <v/>
      </c>
      <c r="G61" s="15"/>
      <c r="H61" s="15"/>
    </row>
    <row r="62" spans="1:8" ht="15" customHeight="1" x14ac:dyDescent="0.15">
      <c r="A62" s="80"/>
      <c r="B62" s="133"/>
      <c r="G62" s="15"/>
      <c r="H62" s="15"/>
    </row>
    <row r="63" spans="1:8" ht="15" customHeight="1" x14ac:dyDescent="0.15">
      <c r="A63" s="159" t="s">
        <v>2808</v>
      </c>
      <c r="B63" s="160"/>
      <c r="D63" s="96"/>
      <c r="E63" s="14" t="s">
        <v>2809</v>
      </c>
      <c r="F63" s="216" t="str">
        <f ca="1">IF(chk_JOB_KIND_kakunin=1,cst_shinsei_ISSUE_NO,cst_wskakunin_LAST_ISSUE_NO)</f>
        <v/>
      </c>
      <c r="G63" s="15"/>
      <c r="H63" s="15"/>
    </row>
    <row r="64" spans="1:8" ht="15" customHeight="1" x14ac:dyDescent="0.15">
      <c r="A64" s="159" t="s">
        <v>2810</v>
      </c>
      <c r="B64" s="160"/>
      <c r="D64" s="96"/>
      <c r="F64" s="15"/>
      <c r="G64" s="15"/>
      <c r="H64" s="15"/>
    </row>
    <row r="65" spans="1:8" ht="15" customHeight="1" x14ac:dyDescent="0.15">
      <c r="A65" s="206" t="s">
        <v>2795</v>
      </c>
      <c r="B65" s="207"/>
      <c r="C65"/>
      <c r="D65" s="201"/>
      <c r="E65" s="14" t="s">
        <v>2796</v>
      </c>
      <c r="F65" s="217" t="str">
        <f ca="1">IF(OR(cst_wsjob_JOB_KIND=101,cst_wsjob_JOB_KIND=102),cst_shinsei_ISSUE_KOUFU_NAME,cst_wskakunin_LAST_ISSUE_NAME)</f>
        <v/>
      </c>
      <c r="G65" s="15"/>
      <c r="H65" s="15"/>
    </row>
    <row r="66" spans="1:8" ht="15" customHeight="1" x14ac:dyDescent="0.15">
      <c r="A66" s="209" t="s">
        <v>2812</v>
      </c>
      <c r="B66" s="210"/>
      <c r="C66"/>
      <c r="D66" s="201"/>
      <c r="E66" s="14" t="s">
        <v>2811</v>
      </c>
      <c r="F66" s="218" t="str">
        <f ca="1">IF(chk_JOB_KIND_kakunin=1,cst_shinsei_ISSUE_DATE,cst_wskakunin_LAST_ISSUE_DATE)</f>
        <v/>
      </c>
      <c r="G66" s="15"/>
      <c r="H66" s="15"/>
    </row>
    <row r="67" spans="1:8" ht="15" customHeight="1" x14ac:dyDescent="0.15">
      <c r="A67" s="79"/>
      <c r="B67" s="200"/>
      <c r="G67" s="15"/>
      <c r="H67" s="15"/>
    </row>
    <row r="68" spans="1:8" ht="15" customHeight="1" x14ac:dyDescent="0.15">
      <c r="A68" s="44" t="s">
        <v>473</v>
      </c>
      <c r="B68" s="45"/>
      <c r="C68" s="14" t="s">
        <v>758</v>
      </c>
      <c r="D68" s="40"/>
      <c r="E68" s="14" t="s">
        <v>759</v>
      </c>
      <c r="F68" s="40" t="str">
        <f>IF(wskakunin_PAGE1_ALTERATION_NOTE="","",wskakunin_PAGE1_ALTERATION_NOTE)</f>
        <v/>
      </c>
    </row>
    <row r="69" spans="1:8" ht="15" customHeight="1" x14ac:dyDescent="0.15">
      <c r="A69" s="47"/>
      <c r="B69" s="59"/>
    </row>
    <row r="70" spans="1:8" ht="15" customHeight="1" x14ac:dyDescent="0.15">
      <c r="A70" s="48" t="s">
        <v>469</v>
      </c>
      <c r="B70" s="112"/>
      <c r="G70" s="15"/>
      <c r="H70" s="15"/>
    </row>
    <row r="71" spans="1:8" ht="15" customHeight="1" x14ac:dyDescent="0.15">
      <c r="A71" s="108"/>
      <c r="B71" s="72" t="s">
        <v>468</v>
      </c>
      <c r="C71" s="14" t="s">
        <v>757</v>
      </c>
      <c r="D71" s="219" t="s">
        <v>3439</v>
      </c>
      <c r="E71" s="14" t="s">
        <v>470</v>
      </c>
      <c r="F71" s="219" t="str">
        <f>IF(wskakunin_APPLICANT_NAME="","",wskakunin_APPLICANT_NAME)</f>
        <v>三木　章史 三木　恵</v>
      </c>
      <c r="G71" s="15"/>
      <c r="H71" s="15"/>
    </row>
    <row r="72" spans="1:8" ht="15" customHeight="1" x14ac:dyDescent="0.15">
      <c r="A72" s="113"/>
      <c r="B72" s="110"/>
      <c r="G72" s="15"/>
      <c r="H72" s="15"/>
    </row>
    <row r="73" spans="1:8" ht="15" customHeight="1" x14ac:dyDescent="0.15">
      <c r="A73" s="48" t="s">
        <v>2974</v>
      </c>
      <c r="B73" s="112"/>
      <c r="G73" s="15"/>
      <c r="H73" s="15"/>
    </row>
    <row r="74" spans="1:8" ht="15" customHeight="1" x14ac:dyDescent="0.15">
      <c r="A74" s="108"/>
      <c r="B74" s="72" t="s">
        <v>2975</v>
      </c>
      <c r="C74" s="14" t="s">
        <v>2976</v>
      </c>
      <c r="D74" s="112" t="s">
        <v>3475</v>
      </c>
      <c r="E74" s="14" t="s">
        <v>2977</v>
      </c>
      <c r="F74" s="112" t="str">
        <f>IF(wskakunin_SEKKEI_NAME="","",wskakunin_SEKKEI_NAME)</f>
        <v>株式会社コラボハウス一級建築士事務所 白形　真</v>
      </c>
      <c r="G74" s="15"/>
      <c r="H74" s="15"/>
    </row>
    <row r="75" spans="1:8" ht="15" customHeight="1" x14ac:dyDescent="0.15">
      <c r="A75" s="113"/>
      <c r="B75" s="110"/>
      <c r="G75" s="15"/>
      <c r="H75" s="15"/>
    </row>
    <row r="76" spans="1:8" ht="15" customHeight="1" x14ac:dyDescent="0.15">
      <c r="A76" s="48" t="s">
        <v>2978</v>
      </c>
      <c r="B76" s="112"/>
      <c r="G76" s="15"/>
      <c r="H76" s="15"/>
    </row>
    <row r="77" spans="1:8" ht="15" customHeight="1" x14ac:dyDescent="0.15">
      <c r="A77" s="108"/>
      <c r="B77" s="72" t="s">
        <v>2979</v>
      </c>
      <c r="C77" s="14" t="s">
        <v>2980</v>
      </c>
      <c r="D77" s="112"/>
      <c r="E77" s="14" t="s">
        <v>2981</v>
      </c>
      <c r="F77" s="112" t="str">
        <f>IF(wskakunin_KANRI_NAME="","",wskakunin_KANRI_NAME)</f>
        <v/>
      </c>
      <c r="G77" s="15"/>
      <c r="H77" s="15"/>
    </row>
    <row r="78" spans="1:8" ht="15" customHeight="1" x14ac:dyDescent="0.15">
      <c r="A78" s="113"/>
      <c r="B78" s="110"/>
      <c r="G78" s="15"/>
      <c r="H78" s="15"/>
    </row>
    <row r="79" spans="1:8" ht="15" customHeight="1" x14ac:dyDescent="0.15">
      <c r="A79" s="42" t="s">
        <v>89</v>
      </c>
      <c r="B79" s="45"/>
      <c r="G79" s="15"/>
      <c r="H79" s="15"/>
    </row>
    <row r="80" spans="1:8" ht="15" customHeight="1" x14ac:dyDescent="0.15">
      <c r="A80" s="79"/>
      <c r="B80" s="73" t="s">
        <v>91</v>
      </c>
      <c r="C80" s="14" t="s">
        <v>443</v>
      </c>
      <c r="D80" s="141"/>
      <c r="E80" s="14" t="s">
        <v>444</v>
      </c>
      <c r="F80" s="141" t="str">
        <f>IF(wskakunin_owner1_JIMU_NAME="", "", wskakunin_owner1_JIMU_NAME)</f>
        <v/>
      </c>
      <c r="G80" s="15"/>
      <c r="H80" s="15"/>
    </row>
    <row r="81" spans="1:8" ht="15" customHeight="1" x14ac:dyDescent="0.15">
      <c r="A81" s="79"/>
      <c r="B81" s="73" t="s">
        <v>155</v>
      </c>
      <c r="C81" s="14" t="s">
        <v>445</v>
      </c>
      <c r="D81" s="141"/>
      <c r="E81" s="14" t="s">
        <v>446</v>
      </c>
      <c r="F81" s="141" t="str">
        <f>IF(wskakunin_owner1_JIMU_NAME_KANA="","",wskakunin_owner1_JIMU_NAME_KANA)</f>
        <v/>
      </c>
      <c r="G81" s="15"/>
      <c r="H81" s="15"/>
    </row>
    <row r="82" spans="1:8" ht="15" customHeight="1" x14ac:dyDescent="0.15">
      <c r="A82" s="79"/>
      <c r="B82" s="73" t="s">
        <v>90</v>
      </c>
      <c r="C82" s="14" t="s">
        <v>447</v>
      </c>
      <c r="D82" s="141"/>
      <c r="E82" s="14" t="s">
        <v>141</v>
      </c>
      <c r="F82" s="141" t="str">
        <f>IF(wskakunin_owner1_POST="", "", wskakunin_owner1_POST)</f>
        <v/>
      </c>
      <c r="G82" s="15"/>
      <c r="H82" s="15"/>
    </row>
    <row r="83" spans="1:8" ht="15" customHeight="1" x14ac:dyDescent="0.15">
      <c r="A83" s="79"/>
      <c r="B83" s="73" t="s">
        <v>156</v>
      </c>
      <c r="C83" s="14" t="s">
        <v>448</v>
      </c>
      <c r="D83" s="141"/>
      <c r="E83" s="14" t="s">
        <v>449</v>
      </c>
      <c r="F83" s="141" t="str">
        <f>IF(wskakunin_owner1_POST_KANA="","",wskakunin_owner1_POST_KANA)</f>
        <v/>
      </c>
      <c r="G83" s="15"/>
      <c r="H83" s="15"/>
    </row>
    <row r="84" spans="1:8" ht="15" customHeight="1" x14ac:dyDescent="0.15">
      <c r="A84" s="79"/>
      <c r="B84" s="73" t="s">
        <v>92</v>
      </c>
      <c r="C84" s="14" t="s">
        <v>123</v>
      </c>
      <c r="D84" s="141" t="s">
        <v>3468</v>
      </c>
      <c r="E84" s="14" t="s">
        <v>142</v>
      </c>
      <c r="F84" s="141" t="str">
        <f>IF(wskakunin_owner1_NAME="", "", wskakunin_owner1_NAME)</f>
        <v>三木　章史</v>
      </c>
      <c r="G84" s="15"/>
      <c r="H84" s="15"/>
    </row>
    <row r="85" spans="1:8" ht="15" customHeight="1" x14ac:dyDescent="0.15">
      <c r="A85" s="46"/>
      <c r="B85" s="73" t="s">
        <v>157</v>
      </c>
      <c r="C85" s="14" t="s">
        <v>124</v>
      </c>
      <c r="D85" s="141" t="s">
        <v>3469</v>
      </c>
      <c r="E85" s="14" t="s">
        <v>143</v>
      </c>
      <c r="F85" s="141" t="str">
        <f>IF(wskakunin_owner1_NAME_KANA="","",wskakunin_owner1_NAME_KANA)</f>
        <v>ﾐｷ　ｱｷﾌﾐ</v>
      </c>
      <c r="G85" s="15"/>
      <c r="H85" s="15"/>
    </row>
    <row r="86" spans="1:8" ht="15" customHeight="1" x14ac:dyDescent="0.15">
      <c r="A86" s="46"/>
      <c r="B86" s="111" t="s">
        <v>158</v>
      </c>
      <c r="D86" s="15"/>
      <c r="E86" s="14" t="s">
        <v>450</v>
      </c>
      <c r="F86" s="141" t="str">
        <f>IF(wskakunin_owner1_JIMU_NAME_KANA="",cst_wskakunin_owner1_NAME_KANA,IF(wskakunin_owner1_POST_KANA="",cst_wskakunin_owner1_NAME_KANA,cst_wskakunin_owner1_JIMU_NAME_KANA&amp;"　"&amp;cst_wskakunin_owner1_POST_KANA&amp;"　"&amp;cst_wskakunin_owner1_NAME_KANA))</f>
        <v>ﾐｷ　ｱｷﾌﾐ</v>
      </c>
      <c r="G86" s="15"/>
      <c r="H86" s="15"/>
    </row>
    <row r="87" spans="1:8" ht="15" customHeight="1" x14ac:dyDescent="0.15">
      <c r="A87" s="46"/>
      <c r="B87" s="111" t="s">
        <v>2831</v>
      </c>
      <c r="D87" s="15"/>
      <c r="E87" s="14" t="s">
        <v>2832</v>
      </c>
      <c r="F87" s="141"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ﾐｷ　ｱｷﾌﾐ</v>
      </c>
      <c r="G87" s="15"/>
      <c r="H87" s="15"/>
    </row>
    <row r="88" spans="1:8" ht="15" customHeight="1" x14ac:dyDescent="0.15">
      <c r="A88" s="46"/>
      <c r="B88" s="73" t="s">
        <v>5</v>
      </c>
      <c r="C88" s="14" t="s">
        <v>125</v>
      </c>
      <c r="D88" s="213" t="s">
        <v>3471</v>
      </c>
      <c r="E88" s="14" t="s">
        <v>144</v>
      </c>
      <c r="F88" s="141" t="str">
        <f>IF(wskakunin_owner1_ZIP="", "", wskakunin_owner1_ZIP)</f>
        <v>763-0094</v>
      </c>
      <c r="G88" s="15"/>
      <c r="H88" s="15"/>
    </row>
    <row r="89" spans="1:8" ht="15" customHeight="1" x14ac:dyDescent="0.15">
      <c r="A89" s="46"/>
      <c r="B89" s="73"/>
      <c r="E89" s="14" t="s">
        <v>2813</v>
      </c>
      <c r="F89" s="141" t="str">
        <f>IF(wskakunin_owner1_ZIP="","",LEFT(wskakunin_owner1_ZIP,3)&amp;RIGHT(wskakunin_owner1_ZIP,4))</f>
        <v>7630094</v>
      </c>
      <c r="G89" s="15"/>
      <c r="H89" s="15"/>
    </row>
    <row r="90" spans="1:8" ht="15" customHeight="1" x14ac:dyDescent="0.15">
      <c r="A90" s="46"/>
      <c r="B90" s="73" t="s">
        <v>6</v>
      </c>
      <c r="C90" s="14" t="s">
        <v>126</v>
      </c>
      <c r="D90" s="141" t="s">
        <v>3467</v>
      </c>
      <c r="E90" s="14" t="s">
        <v>145</v>
      </c>
      <c r="F90" s="141" t="str">
        <f>IF(wskakunin_owner1__address="", "", wskakunin_owner1__address)</f>
        <v>香川県丸亀市三条町1206番地1　キッシングラミーC棟201号</v>
      </c>
      <c r="G90" s="15"/>
      <c r="H90" s="15"/>
    </row>
    <row r="91" spans="1:8" ht="15" customHeight="1" x14ac:dyDescent="0.15">
      <c r="A91" s="46"/>
      <c r="B91" s="73" t="s">
        <v>7</v>
      </c>
      <c r="C91" s="14" t="s">
        <v>127</v>
      </c>
      <c r="D91" s="213" t="s">
        <v>3470</v>
      </c>
      <c r="E91" s="14" t="s">
        <v>146</v>
      </c>
      <c r="F91" s="141" t="str">
        <f>IF(wskakunin_owner1_TEL="", "", wskakunin_owner1_TEL)</f>
        <v>090-5914-2655</v>
      </c>
      <c r="G91" s="15"/>
      <c r="H91" s="15"/>
    </row>
    <row r="92" spans="1:8" ht="15" customHeight="1" x14ac:dyDescent="0.15">
      <c r="A92" s="46"/>
      <c r="B92" s="70" t="s">
        <v>153</v>
      </c>
      <c r="D92" s="15"/>
      <c r="E92" s="14" t="s">
        <v>169</v>
      </c>
      <c r="F92" s="220" t="str">
        <f>IF(wskakunin_owner1_JIMU_NAME="",cst_wskakunin_owner1_NAME,IF(wskakunin_owner1_POST="",cst_wskakunin_owner1_NAME,cst_wskakunin_owner1_JIMU_NAME&amp;"　"&amp;cst_wskakunin_owner1_POST&amp;"　"&amp;cst_wskakunin_owner1_NAME))</f>
        <v>三木　章史</v>
      </c>
      <c r="G92" s="53"/>
      <c r="H92" s="53"/>
    </row>
    <row r="93" spans="1:8" ht="15" customHeight="1" x14ac:dyDescent="0.15">
      <c r="A93" s="46"/>
      <c r="B93" s="70" t="s">
        <v>152</v>
      </c>
      <c r="D93" s="15"/>
      <c r="E93" s="14" t="s">
        <v>170</v>
      </c>
      <c r="F93" s="141" t="str">
        <f>IF(wskakunin_owner1_POST&amp;wskakunin_owner1_NAME="","",IF(wskakunin_owner1_POST="",wskakunin_owner1_NAME,wskakunin_owner1_POST&amp;"　"&amp;wskakunin_owner1_NAME))</f>
        <v>三木　章史</v>
      </c>
      <c r="G93" s="15"/>
      <c r="H93" s="15"/>
    </row>
    <row r="94" spans="1:8" ht="30" customHeight="1" x14ac:dyDescent="0.15">
      <c r="A94" s="46"/>
      <c r="B94" s="73" t="s">
        <v>151</v>
      </c>
      <c r="D94" s="15"/>
      <c r="E94" s="14" t="s">
        <v>2805</v>
      </c>
      <c r="F94" s="220" t="str">
        <f>wskakunin_owner1_JIMU_NAME&amp;IF(wskakunin_owner1_JIMU_NAME="","",CHAR(10))&amp;cst_wskakunin_owner1__space2</f>
        <v>三木　章史</v>
      </c>
      <c r="G94" s="53"/>
      <c r="H94" s="53"/>
    </row>
    <row r="95" spans="1:8" ht="30" customHeight="1" x14ac:dyDescent="0.15">
      <c r="A95" s="46"/>
      <c r="B95" s="138" t="s">
        <v>2834</v>
      </c>
      <c r="D95" s="15"/>
      <c r="E95" s="14" t="s">
        <v>2833</v>
      </c>
      <c r="F95" s="220"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三木　章史</v>
      </c>
      <c r="G95" s="53"/>
      <c r="H95" s="53"/>
    </row>
    <row r="96" spans="1:8" ht="15" customHeight="1" x14ac:dyDescent="0.15">
      <c r="A96" s="47"/>
      <c r="B96" s="81"/>
      <c r="D96" s="15"/>
      <c r="G96" s="53"/>
      <c r="H96" s="53"/>
    </row>
    <row r="97" spans="1:8" ht="15" customHeight="1" x14ac:dyDescent="0.15">
      <c r="A97" s="42" t="s">
        <v>1546</v>
      </c>
      <c r="B97" s="45"/>
      <c r="G97" s="15"/>
      <c r="H97" s="15"/>
    </row>
    <row r="98" spans="1:8" ht="15" customHeight="1" x14ac:dyDescent="0.15">
      <c r="A98" s="79"/>
      <c r="B98" s="73" t="s">
        <v>91</v>
      </c>
      <c r="C98" s="14" t="s">
        <v>1554</v>
      </c>
      <c r="D98" s="141"/>
      <c r="E98" s="14" t="s">
        <v>1555</v>
      </c>
      <c r="F98" s="141" t="str">
        <f>IF(wskakunin_owner2_JIMU_NAME="", "", wskakunin_owner2_JIMU_NAME)</f>
        <v/>
      </c>
      <c r="H98" s="15"/>
    </row>
    <row r="99" spans="1:8" ht="15" customHeight="1" x14ac:dyDescent="0.15">
      <c r="A99" s="79"/>
      <c r="B99" s="73" t="s">
        <v>155</v>
      </c>
      <c r="C99" s="14" t="s">
        <v>1556</v>
      </c>
      <c r="D99" s="141"/>
      <c r="E99" s="14" t="s">
        <v>1557</v>
      </c>
      <c r="F99" s="141" t="str">
        <f>IF(wskakunin_owner2_JIMU_NAME_KANA="","",wskakunin_owner2_JIMU_NAME_KANA)</f>
        <v/>
      </c>
      <c r="H99" s="15"/>
    </row>
    <row r="100" spans="1:8" ht="15" customHeight="1" x14ac:dyDescent="0.15">
      <c r="A100" s="79"/>
      <c r="B100" s="73" t="s">
        <v>90</v>
      </c>
      <c r="C100" s="14" t="s">
        <v>1558</v>
      </c>
      <c r="D100" s="141"/>
      <c r="E100" s="14" t="s">
        <v>1559</v>
      </c>
      <c r="F100" s="141" t="str">
        <f>IF(wskakunin_owner2_POST="", "", wskakunin_owner2_POST)</f>
        <v/>
      </c>
      <c r="H100" s="15"/>
    </row>
    <row r="101" spans="1:8" ht="15" customHeight="1" x14ac:dyDescent="0.15">
      <c r="A101" s="79"/>
      <c r="B101" s="73" t="s">
        <v>156</v>
      </c>
      <c r="C101" s="14" t="s">
        <v>1560</v>
      </c>
      <c r="D101" s="141"/>
      <c r="E101" s="14" t="s">
        <v>1561</v>
      </c>
      <c r="F101" s="141" t="str">
        <f>IF(wskakunin_owner2_POST_KANA="","",wskakunin_owner2_POST_KANA)</f>
        <v/>
      </c>
      <c r="H101" s="15"/>
    </row>
    <row r="102" spans="1:8" ht="15" customHeight="1" x14ac:dyDescent="0.15">
      <c r="A102" s="79"/>
      <c r="B102" s="73" t="s">
        <v>92</v>
      </c>
      <c r="C102" s="14" t="s">
        <v>1562</v>
      </c>
      <c r="D102" s="141" t="s">
        <v>3472</v>
      </c>
      <c r="E102" s="14" t="s">
        <v>1563</v>
      </c>
      <c r="F102" s="141" t="str">
        <f>IF(wskakunin_owner2_NAME="", "", wskakunin_owner2_NAME)</f>
        <v>三木　恵</v>
      </c>
      <c r="H102" s="15"/>
    </row>
    <row r="103" spans="1:8" ht="15" customHeight="1" x14ac:dyDescent="0.15">
      <c r="A103" s="46"/>
      <c r="B103" s="73" t="s">
        <v>157</v>
      </c>
      <c r="C103" s="14" t="s">
        <v>1564</v>
      </c>
      <c r="D103" s="141" t="s">
        <v>3473</v>
      </c>
      <c r="E103" s="14" t="s">
        <v>1565</v>
      </c>
      <c r="F103" s="141" t="str">
        <f>IF(wskakunin_owner2_NAME_KANA="","",wskakunin_owner2_NAME_KANA)</f>
        <v>ﾐｷ　ﾒｸﾞﾐ</v>
      </c>
      <c r="H103" s="15"/>
    </row>
    <row r="104" spans="1:8" ht="15" customHeight="1" x14ac:dyDescent="0.15">
      <c r="A104" s="46"/>
      <c r="B104" s="111" t="s">
        <v>158</v>
      </c>
      <c r="D104" s="15"/>
      <c r="E104" s="14" t="s">
        <v>3208</v>
      </c>
      <c r="F104" s="141" t="str">
        <f>IF(wskakunin_owner2_JIMU_NAME_KANA="",cst_wskakunin_owner2_NAME_KANA,IF(wskakunin_owner2_POST_KANA="",cst_wskakunin_owner2_NAME_KANA,cst_wskakunin_owner2_JIMU_NAME_KANA&amp;"　"&amp;cst_wskakunin_owner2_POST_KANA&amp;"　"&amp;cst_wskakunin_owner2_NAME_KANA))</f>
        <v>ﾐｷ　ﾒｸﾞﾐ</v>
      </c>
      <c r="H104" s="15"/>
    </row>
    <row r="105" spans="1:8" ht="15" customHeight="1" x14ac:dyDescent="0.15">
      <c r="A105" s="46"/>
      <c r="B105" s="111" t="s">
        <v>2831</v>
      </c>
      <c r="D105" s="15"/>
      <c r="E105" s="14" t="s">
        <v>3209</v>
      </c>
      <c r="F105" s="141" t="str">
        <f>IF(AND(cst_wskakunin_owner2_JIMU_NAME_KANA="",cst_wskakunin_owner2_POST_KANA=""),cst_wskakunin_owner2_NAME_KANA,IF(cst_wskakunin_owner2_JIMU_NAME_KANA="",cst_wskakunin_owner2_POST_KANA&amp;"　"&amp;cst_wskakunin_owner2_NAME_KANA,IF(cst_wskakunin_owner2_POST_KANA="",cst_wskakunin_owner2_JIMU_NAME_KANA&amp;"　"&amp;cst_wskakunin_owner2_NAME_KANA,cst_wskakunin_owner2_JIMU_NAME_KANA&amp;"　"&amp;cst_wskakunin_owner2_POST_KANA&amp;"　"&amp;cst_wskakunin_owner2_NAME_KANA)))</f>
        <v>ﾐｷ　ﾒｸﾞﾐ</v>
      </c>
      <c r="H105" s="15"/>
    </row>
    <row r="106" spans="1:8" ht="15" customHeight="1" x14ac:dyDescent="0.15">
      <c r="A106" s="46"/>
      <c r="B106" s="73" t="s">
        <v>5</v>
      </c>
      <c r="C106" s="14" t="s">
        <v>1566</v>
      </c>
      <c r="D106" s="213" t="s">
        <v>3471</v>
      </c>
      <c r="E106" s="14" t="s">
        <v>1567</v>
      </c>
      <c r="F106" s="141" t="str">
        <f>IF(wskakunin_owner2_ZIP="", "", wskakunin_owner2_ZIP)</f>
        <v>763-0094</v>
      </c>
      <c r="H106" s="15"/>
    </row>
    <row r="107" spans="1:8" ht="15" customHeight="1" x14ac:dyDescent="0.15">
      <c r="A107" s="46"/>
      <c r="B107" s="73" t="s">
        <v>6</v>
      </c>
      <c r="C107" s="14" t="s">
        <v>1568</v>
      </c>
      <c r="D107" s="141" t="s">
        <v>3467</v>
      </c>
      <c r="E107" s="14" t="s">
        <v>1569</v>
      </c>
      <c r="F107" s="141" t="str">
        <f>IF(wskakunin_owner2__address="", "", wskakunin_owner2__address)</f>
        <v>香川県丸亀市三条町1206番地1　キッシングラミーC棟201号</v>
      </c>
      <c r="H107" s="15"/>
    </row>
    <row r="108" spans="1:8" ht="15" customHeight="1" x14ac:dyDescent="0.15">
      <c r="A108" s="46"/>
      <c r="B108" s="73" t="s">
        <v>7</v>
      </c>
      <c r="C108" s="14" t="s">
        <v>1570</v>
      </c>
      <c r="D108" s="213" t="s">
        <v>3474</v>
      </c>
      <c r="E108" s="14" t="s">
        <v>1571</v>
      </c>
      <c r="F108" s="141" t="str">
        <f>IF(wskakunin_owner2_TEL="", "", wskakunin_owner2_TEL)</f>
        <v>090-5718-4090</v>
      </c>
      <c r="H108" s="15"/>
    </row>
    <row r="109" spans="1:8" ht="15" customHeight="1" x14ac:dyDescent="0.15">
      <c r="A109" s="46"/>
      <c r="B109" s="70" t="s">
        <v>153</v>
      </c>
      <c r="E109" s="14" t="s">
        <v>2790</v>
      </c>
      <c r="F109" s="141" t="str">
        <f>IF(wskakunin_owner2_JIMU_NAME="",cst_wskakunin_owner2_NAME,IF(wskakunin_owner2_POST="",cst_wskakunin_owner2_NAME,cst_wskakunin_owner2_JIMU_NAME&amp;"　"&amp;cst_wskakunin_owner2_POST&amp;"　"&amp;cst_wskakunin_owner2_NAME))</f>
        <v>三木　恵</v>
      </c>
      <c r="H109" s="15"/>
    </row>
    <row r="110" spans="1:8" ht="15" customHeight="1" x14ac:dyDescent="0.15">
      <c r="A110" s="46"/>
      <c r="B110" s="204" t="s">
        <v>152</v>
      </c>
      <c r="C110"/>
      <c r="D110" s="199"/>
      <c r="E110" s="14" t="s">
        <v>2804</v>
      </c>
      <c r="F110" s="141" t="str">
        <f>IF(wskakunin_owner2_POST&amp;wskakunin_owner2_NAME="","",IF(wskakunin_owner2_POST="",wskakunin_owner2_NAME,wskakunin_owner2_POST&amp;"　"&amp;wskakunin_owner2_NAME))</f>
        <v>三木　恵</v>
      </c>
      <c r="H110" s="15"/>
    </row>
    <row r="111" spans="1:8" ht="24" x14ac:dyDescent="0.15">
      <c r="A111" s="46"/>
      <c r="B111" s="205" t="s">
        <v>151</v>
      </c>
      <c r="C111"/>
      <c r="D111" s="199"/>
      <c r="E111" s="14" t="s">
        <v>2806</v>
      </c>
      <c r="F111" s="220" t="str">
        <f>wskakunin_owner2_JIMU_NAME&amp;IF(wskakunin_owner2_JIMU_NAME="","",CHAR(10))&amp;cst_wskakunin_owner2__space2</f>
        <v>三木　恵</v>
      </c>
      <c r="H111" s="15"/>
    </row>
    <row r="112" spans="1:8" ht="15" customHeight="1" x14ac:dyDescent="0.15">
      <c r="A112" s="46"/>
      <c r="B112" s="140"/>
      <c r="D112" s="30"/>
      <c r="F112" s="15"/>
      <c r="H112" s="15"/>
    </row>
    <row r="113" spans="1:8" ht="15" customHeight="1" x14ac:dyDescent="0.15">
      <c r="A113" s="42" t="s">
        <v>1547</v>
      </c>
      <c r="B113" s="45"/>
      <c r="H113" s="15"/>
    </row>
    <row r="114" spans="1:8" ht="15" customHeight="1" x14ac:dyDescent="0.15">
      <c r="A114" s="79"/>
      <c r="B114" s="73" t="s">
        <v>91</v>
      </c>
      <c r="C114" s="14" t="s">
        <v>1572</v>
      </c>
      <c r="D114" s="141"/>
      <c r="E114" s="14" t="s">
        <v>1573</v>
      </c>
      <c r="F114" s="141" t="str">
        <f>IF(wskakunin_owner3_JIMU_NAME="", "", wskakunin_owner3_JIMU_NAME)</f>
        <v/>
      </c>
      <c r="H114" s="15"/>
    </row>
    <row r="115" spans="1:8" ht="15" customHeight="1" x14ac:dyDescent="0.15">
      <c r="A115" s="79"/>
      <c r="B115" s="73" t="s">
        <v>155</v>
      </c>
      <c r="C115" s="14" t="s">
        <v>1574</v>
      </c>
      <c r="D115" s="141"/>
      <c r="E115" s="14" t="s">
        <v>1575</v>
      </c>
      <c r="F115" s="141" t="str">
        <f>IF(wskakunin_owner3_JIMU_NAME_KANA="","",wskakunin_owner3_JIMU_NAME_KANA)</f>
        <v/>
      </c>
      <c r="H115" s="15"/>
    </row>
    <row r="116" spans="1:8" ht="15" customHeight="1" x14ac:dyDescent="0.15">
      <c r="A116" s="79"/>
      <c r="B116" s="73" t="s">
        <v>90</v>
      </c>
      <c r="C116" s="14" t="s">
        <v>1576</v>
      </c>
      <c r="D116" s="141"/>
      <c r="E116" s="14" t="s">
        <v>1577</v>
      </c>
      <c r="F116" s="141" t="str">
        <f>IF(wskakunin_owner3_POST="", "", wskakunin_owner3_POST)</f>
        <v/>
      </c>
      <c r="H116" s="15"/>
    </row>
    <row r="117" spans="1:8" ht="15" customHeight="1" x14ac:dyDescent="0.15">
      <c r="A117" s="79"/>
      <c r="B117" s="73" t="s">
        <v>156</v>
      </c>
      <c r="C117" s="14" t="s">
        <v>1578</v>
      </c>
      <c r="D117" s="141"/>
      <c r="E117" s="14" t="s">
        <v>1579</v>
      </c>
      <c r="F117" s="141" t="str">
        <f>IF(wskakunin_owner3_POST_KANA="","",wskakunin_owner3_POST_KANA)</f>
        <v/>
      </c>
      <c r="H117" s="15"/>
    </row>
    <row r="118" spans="1:8" ht="15" customHeight="1" x14ac:dyDescent="0.15">
      <c r="A118" s="79"/>
      <c r="B118" s="73" t="s">
        <v>92</v>
      </c>
      <c r="C118" s="14" t="s">
        <v>1580</v>
      </c>
      <c r="D118" s="141"/>
      <c r="E118" s="14" t="s">
        <v>1581</v>
      </c>
      <c r="F118" s="141" t="str">
        <f>IF(wskakunin_owner3_NAME="", "", wskakunin_owner3_NAME)</f>
        <v/>
      </c>
      <c r="H118" s="15"/>
    </row>
    <row r="119" spans="1:8" ht="15" customHeight="1" x14ac:dyDescent="0.15">
      <c r="A119" s="46"/>
      <c r="B119" s="73" t="s">
        <v>157</v>
      </c>
      <c r="C119" s="14" t="s">
        <v>1582</v>
      </c>
      <c r="D119" s="141"/>
      <c r="E119" s="14" t="s">
        <v>1583</v>
      </c>
      <c r="F119" s="141" t="str">
        <f>IF(wskakunin_owner3_NAME_KANA="","",wskakunin_owner3_NAME_KANA)</f>
        <v/>
      </c>
      <c r="H119" s="15"/>
    </row>
    <row r="120" spans="1:8" ht="15" customHeight="1" x14ac:dyDescent="0.15">
      <c r="A120" s="46"/>
      <c r="B120" s="73" t="s">
        <v>5</v>
      </c>
      <c r="C120" s="14" t="s">
        <v>1584</v>
      </c>
      <c r="D120" s="213"/>
      <c r="E120" s="14" t="s">
        <v>1585</v>
      </c>
      <c r="F120" s="141" t="str">
        <f>IF(wskakunin_owner3_ZIP="", "", wskakunin_owner3_ZIP)</f>
        <v/>
      </c>
      <c r="H120" s="15"/>
    </row>
    <row r="121" spans="1:8" ht="15" customHeight="1" x14ac:dyDescent="0.15">
      <c r="A121" s="46"/>
      <c r="B121" s="73" t="s">
        <v>6</v>
      </c>
      <c r="C121" s="14" t="s">
        <v>1586</v>
      </c>
      <c r="D121" s="141"/>
      <c r="E121" s="14" t="s">
        <v>1587</v>
      </c>
      <c r="F121" s="141" t="str">
        <f>IF(wskakunin_owner3__address="", "", wskakunin_owner3__address)</f>
        <v/>
      </c>
      <c r="H121" s="15"/>
    </row>
    <row r="122" spans="1:8" ht="15" customHeight="1" x14ac:dyDescent="0.15">
      <c r="A122" s="46"/>
      <c r="B122" s="73" t="s">
        <v>7</v>
      </c>
      <c r="C122" s="14" t="s">
        <v>1588</v>
      </c>
      <c r="D122" s="213"/>
      <c r="E122" s="14" t="s">
        <v>1589</v>
      </c>
      <c r="F122" s="141" t="str">
        <f>IF(wskakunin_owner3_TEL="", "", wskakunin_owner3_TEL)</f>
        <v/>
      </c>
      <c r="H122" s="15"/>
    </row>
    <row r="123" spans="1:8" ht="15" customHeight="1" x14ac:dyDescent="0.15">
      <c r="A123" s="46"/>
      <c r="B123" s="70" t="s">
        <v>153</v>
      </c>
      <c r="E123" s="14" t="s">
        <v>2791</v>
      </c>
      <c r="F123" s="141" t="str">
        <f>IF(wskakunin_owner3_JIMU_NAME="",cst_wskakunin_owner3_NAME,IF(wskakunin_owner3_POST="",cst_wskakunin_owner3_NAME,cst_wskakunin_owner3_JIMU_NAME&amp;"　"&amp;cst_wskakunin_owner3_POST&amp;"　"&amp;cst_wskakunin_owner3_NAME))</f>
        <v/>
      </c>
      <c r="H123" s="15"/>
    </row>
    <row r="124" spans="1:8" ht="15" customHeight="1" x14ac:dyDescent="0.15">
      <c r="A124" s="46"/>
      <c r="B124" s="140"/>
      <c r="D124" s="30"/>
      <c r="F124" s="15"/>
      <c r="H124" s="15"/>
    </row>
    <row r="125" spans="1:8" ht="15" customHeight="1" x14ac:dyDescent="0.15">
      <c r="A125" s="42" t="s">
        <v>1548</v>
      </c>
      <c r="B125" s="45"/>
      <c r="H125" s="15"/>
    </row>
    <row r="126" spans="1:8" ht="15" customHeight="1" x14ac:dyDescent="0.15">
      <c r="A126" s="79"/>
      <c r="B126" s="73" t="s">
        <v>91</v>
      </c>
      <c r="C126" s="14" t="s">
        <v>1590</v>
      </c>
      <c r="D126" s="141"/>
      <c r="E126" s="14" t="s">
        <v>1591</v>
      </c>
      <c r="F126" s="141" t="str">
        <f>IF(wskakunin_owner4_JIMU_NAME="", "", wskakunin_owner4_JIMU_NAME)</f>
        <v/>
      </c>
      <c r="H126" s="15"/>
    </row>
    <row r="127" spans="1:8" ht="15" customHeight="1" x14ac:dyDescent="0.15">
      <c r="A127" s="79"/>
      <c r="B127" s="73" t="s">
        <v>155</v>
      </c>
      <c r="C127" s="14" t="s">
        <v>1592</v>
      </c>
      <c r="D127" s="141"/>
      <c r="E127" s="14" t="s">
        <v>1593</v>
      </c>
      <c r="F127" s="141" t="str">
        <f>IF(wskakunin_owner4_JIMU_NAME_KANA="","",wskakunin_owner4_JIMU_NAME_KANA)</f>
        <v/>
      </c>
      <c r="H127" s="15"/>
    </row>
    <row r="128" spans="1:8" ht="15" customHeight="1" x14ac:dyDescent="0.15">
      <c r="A128" s="79"/>
      <c r="B128" s="73" t="s">
        <v>90</v>
      </c>
      <c r="C128" s="14" t="s">
        <v>1594</v>
      </c>
      <c r="D128" s="141"/>
      <c r="E128" s="14" t="s">
        <v>1595</v>
      </c>
      <c r="F128" s="141" t="str">
        <f>IF(wskakunin_owner4_POST="", "", wskakunin_owner4_POST)</f>
        <v/>
      </c>
      <c r="H128" s="15"/>
    </row>
    <row r="129" spans="1:8" ht="15" customHeight="1" x14ac:dyDescent="0.15">
      <c r="A129" s="79"/>
      <c r="B129" s="73" t="s">
        <v>156</v>
      </c>
      <c r="C129" s="14" t="s">
        <v>1596</v>
      </c>
      <c r="D129" s="141"/>
      <c r="E129" s="14" t="s">
        <v>1597</v>
      </c>
      <c r="F129" s="141" t="str">
        <f>IF(wskakunin_owner4_POST_KANA="","",wskakunin_owner4_POST_KANA)</f>
        <v/>
      </c>
      <c r="H129" s="15"/>
    </row>
    <row r="130" spans="1:8" ht="15" customHeight="1" x14ac:dyDescent="0.15">
      <c r="A130" s="79"/>
      <c r="B130" s="73" t="s">
        <v>92</v>
      </c>
      <c r="C130" s="14" t="s">
        <v>1598</v>
      </c>
      <c r="D130" s="141"/>
      <c r="E130" s="14" t="s">
        <v>1599</v>
      </c>
      <c r="F130" s="141" t="str">
        <f>IF(wskakunin_owner4_NAME="", "", wskakunin_owner4_NAME)</f>
        <v/>
      </c>
      <c r="H130" s="15"/>
    </row>
    <row r="131" spans="1:8" ht="15" customHeight="1" x14ac:dyDescent="0.15">
      <c r="A131" s="46"/>
      <c r="B131" s="73" t="s">
        <v>157</v>
      </c>
      <c r="C131" s="14" t="s">
        <v>1600</v>
      </c>
      <c r="D131" s="141"/>
      <c r="E131" s="14" t="s">
        <v>1601</v>
      </c>
      <c r="F131" s="141" t="str">
        <f>IF(wskakunin_owner4_NAME_KANA="","",wskakunin_owner4_NAME_KANA)</f>
        <v/>
      </c>
      <c r="H131" s="15"/>
    </row>
    <row r="132" spans="1:8" ht="15" customHeight="1" x14ac:dyDescent="0.15">
      <c r="A132" s="46"/>
      <c r="B132" s="73" t="s">
        <v>5</v>
      </c>
      <c r="C132" s="14" t="s">
        <v>1602</v>
      </c>
      <c r="D132" s="213"/>
      <c r="E132" s="14" t="s">
        <v>1603</v>
      </c>
      <c r="F132" s="141" t="str">
        <f>IF(wskakunin_owner4_ZIP="", "", wskakunin_owner4_ZIP)</f>
        <v/>
      </c>
      <c r="H132" s="15"/>
    </row>
    <row r="133" spans="1:8" ht="15" customHeight="1" x14ac:dyDescent="0.15">
      <c r="A133" s="46"/>
      <c r="B133" s="73" t="s">
        <v>6</v>
      </c>
      <c r="C133" s="14" t="s">
        <v>1604</v>
      </c>
      <c r="D133" s="141"/>
      <c r="E133" s="14" t="s">
        <v>1605</v>
      </c>
      <c r="F133" s="141" t="str">
        <f>IF(wskakunin_owner4__address="", "", wskakunin_owner4__address)</f>
        <v/>
      </c>
      <c r="H133" s="15"/>
    </row>
    <row r="134" spans="1:8" ht="15" customHeight="1" x14ac:dyDescent="0.15">
      <c r="A134" s="46"/>
      <c r="B134" s="73" t="s">
        <v>7</v>
      </c>
      <c r="C134" s="14" t="s">
        <v>1606</v>
      </c>
      <c r="D134" s="213"/>
      <c r="E134" s="14" t="s">
        <v>1607</v>
      </c>
      <c r="F134" s="141" t="str">
        <f>IF(wskakunin_owner4_TEL="", "", wskakunin_owner4_TEL)</f>
        <v/>
      </c>
      <c r="H134" s="15"/>
    </row>
    <row r="135" spans="1:8" ht="15" customHeight="1" x14ac:dyDescent="0.15">
      <c r="A135" s="46"/>
      <c r="B135" s="70" t="s">
        <v>153</v>
      </c>
      <c r="D135" s="30"/>
      <c r="E135" s="14" t="s">
        <v>2792</v>
      </c>
      <c r="F135" s="141" t="str">
        <f>IF(wskakunin_owner4_JIMU_NAME="",cst_wskakunin_owner4_NAME,IF(wskakunin_owner4_POST="",cst_wskakunin_owner4_NAME,cst_wskakunin_owner4_JIMU_NAME&amp;"　"&amp;cst_wskakunin_owner4_POST&amp;"　"&amp;cst_wskakunin_owner4_NAME))</f>
        <v/>
      </c>
      <c r="H135" s="15"/>
    </row>
    <row r="136" spans="1:8" ht="15" customHeight="1" x14ac:dyDescent="0.15">
      <c r="A136" s="46"/>
      <c r="B136" s="140"/>
      <c r="D136" s="30"/>
      <c r="F136" s="15"/>
      <c r="H136" s="15"/>
    </row>
    <row r="137" spans="1:8" ht="15" customHeight="1" x14ac:dyDescent="0.15">
      <c r="A137" s="42" t="s">
        <v>1549</v>
      </c>
      <c r="B137" s="45"/>
      <c r="H137" s="15"/>
    </row>
    <row r="138" spans="1:8" ht="15" customHeight="1" x14ac:dyDescent="0.15">
      <c r="A138" s="79"/>
      <c r="B138" s="73" t="s">
        <v>91</v>
      </c>
      <c r="C138" s="14" t="s">
        <v>1608</v>
      </c>
      <c r="D138" s="141"/>
      <c r="E138" s="14" t="s">
        <v>1609</v>
      </c>
      <c r="F138" s="141" t="str">
        <f>IF(wskakunin_owner5_JIMU_NAME="", "", wskakunin_owner5_JIMU_NAME)</f>
        <v/>
      </c>
      <c r="H138" s="15"/>
    </row>
    <row r="139" spans="1:8" ht="15" customHeight="1" x14ac:dyDescent="0.15">
      <c r="A139" s="79"/>
      <c r="B139" s="73" t="s">
        <v>155</v>
      </c>
      <c r="C139" s="14" t="s">
        <v>1610</v>
      </c>
      <c r="D139" s="141"/>
      <c r="E139" s="14" t="s">
        <v>1611</v>
      </c>
      <c r="F139" s="141" t="str">
        <f>IF(wskakunin_owner5_JIMU_NAME_KANA="","",wskakunin_owner5_JIMU_NAME_KANA)</f>
        <v/>
      </c>
      <c r="H139" s="15"/>
    </row>
    <row r="140" spans="1:8" ht="15" customHeight="1" x14ac:dyDescent="0.15">
      <c r="A140" s="79"/>
      <c r="B140" s="73" t="s">
        <v>90</v>
      </c>
      <c r="C140" s="14" t="s">
        <v>1612</v>
      </c>
      <c r="D140" s="141"/>
      <c r="E140" s="14" t="s">
        <v>1613</v>
      </c>
      <c r="F140" s="141" t="str">
        <f>IF(wskakunin_owner5_POST="", "", wskakunin_owner5_POST)</f>
        <v/>
      </c>
      <c r="H140" s="15"/>
    </row>
    <row r="141" spans="1:8" ht="15" customHeight="1" x14ac:dyDescent="0.15">
      <c r="A141" s="79"/>
      <c r="B141" s="73" t="s">
        <v>156</v>
      </c>
      <c r="C141" s="14" t="s">
        <v>1614</v>
      </c>
      <c r="D141" s="141"/>
      <c r="E141" s="14" t="s">
        <v>1615</v>
      </c>
      <c r="F141" s="141" t="str">
        <f>IF(wskakunin_owner5_POST_KANA="","",wskakunin_owner5_POST_KANA)</f>
        <v/>
      </c>
      <c r="H141" s="15"/>
    </row>
    <row r="142" spans="1:8" ht="15" customHeight="1" x14ac:dyDescent="0.15">
      <c r="A142" s="79"/>
      <c r="B142" s="73" t="s">
        <v>92</v>
      </c>
      <c r="C142" s="14" t="s">
        <v>1616</v>
      </c>
      <c r="D142" s="141"/>
      <c r="E142" s="14" t="s">
        <v>1617</v>
      </c>
      <c r="F142" s="141" t="str">
        <f>IF(wskakunin_owner5_NAME="", "", wskakunin_owner5_NAME)</f>
        <v/>
      </c>
      <c r="H142" s="15"/>
    </row>
    <row r="143" spans="1:8" ht="15" customHeight="1" x14ac:dyDescent="0.15">
      <c r="A143" s="46"/>
      <c r="B143" s="73" t="s">
        <v>157</v>
      </c>
      <c r="C143" s="14" t="s">
        <v>1618</v>
      </c>
      <c r="D143" s="141"/>
      <c r="E143" s="14" t="s">
        <v>1619</v>
      </c>
      <c r="F143" s="141" t="str">
        <f>IF(wskakunin_owner5_NAME_KANA="","",wskakunin_owner5_NAME_KANA)</f>
        <v/>
      </c>
      <c r="H143" s="15"/>
    </row>
    <row r="144" spans="1:8" ht="15" customHeight="1" x14ac:dyDescent="0.15">
      <c r="A144" s="46"/>
      <c r="B144" s="73" t="s">
        <v>5</v>
      </c>
      <c r="C144" s="14" t="s">
        <v>1620</v>
      </c>
      <c r="D144" s="213"/>
      <c r="E144" s="14" t="s">
        <v>1621</v>
      </c>
      <c r="F144" s="141" t="str">
        <f>IF(wskakunin_owner5_ZIP="", "", wskakunin_owner5_ZIP)</f>
        <v/>
      </c>
      <c r="H144" s="15"/>
    </row>
    <row r="145" spans="1:8" ht="15" customHeight="1" x14ac:dyDescent="0.15">
      <c r="A145" s="46"/>
      <c r="B145" s="73" t="s">
        <v>6</v>
      </c>
      <c r="C145" s="14" t="s">
        <v>1622</v>
      </c>
      <c r="D145" s="141"/>
      <c r="E145" s="14" t="s">
        <v>1623</v>
      </c>
      <c r="F145" s="141" t="str">
        <f>IF(wskakunin_owner5__address="", "", wskakunin_owner5__address)</f>
        <v/>
      </c>
      <c r="H145" s="15"/>
    </row>
    <row r="146" spans="1:8" ht="15" customHeight="1" x14ac:dyDescent="0.15">
      <c r="A146" s="46"/>
      <c r="B146" s="73" t="s">
        <v>7</v>
      </c>
      <c r="C146" s="14" t="s">
        <v>1624</v>
      </c>
      <c r="D146" s="213"/>
      <c r="E146" s="14" t="s">
        <v>1625</v>
      </c>
      <c r="F146" s="141" t="str">
        <f>IF(wskakunin_owner5_TEL="", "", wskakunin_owner5_TEL)</f>
        <v/>
      </c>
      <c r="H146" s="15"/>
    </row>
    <row r="147" spans="1:8" ht="15" customHeight="1" x14ac:dyDescent="0.15">
      <c r="A147" s="46"/>
      <c r="B147" s="70" t="s">
        <v>153</v>
      </c>
      <c r="D147" s="30"/>
      <c r="E147" s="14" t="s">
        <v>2793</v>
      </c>
      <c r="F147" s="141" t="str">
        <f>IF(wskakunin_owner5_JIMU_NAME="",cst_wskakunin_owner5_NAME,IF(wskakunin_owner5_POST="",cst_wskakunin_owner5_NAME,cst_wskakunin_owner5_JIMU_NAME&amp;"　"&amp;cst_wskakunin_owner5_POST&amp;"　"&amp;cst_wskakunin_owner5_NAME))</f>
        <v/>
      </c>
      <c r="H147" s="15"/>
    </row>
    <row r="148" spans="1:8" ht="15" customHeight="1" x14ac:dyDescent="0.15">
      <c r="A148" s="46"/>
      <c r="B148" s="140"/>
      <c r="D148" s="30"/>
      <c r="F148" s="15"/>
      <c r="H148" s="15"/>
    </row>
    <row r="149" spans="1:8" ht="15" customHeight="1" x14ac:dyDescent="0.15">
      <c r="A149" s="42" t="s">
        <v>1550</v>
      </c>
      <c r="B149" s="45"/>
      <c r="H149" s="15"/>
    </row>
    <row r="150" spans="1:8" ht="15" customHeight="1" x14ac:dyDescent="0.15">
      <c r="A150" s="79"/>
      <c r="B150" s="73" t="s">
        <v>91</v>
      </c>
      <c r="C150" s="14" t="s">
        <v>1626</v>
      </c>
      <c r="D150" s="141"/>
      <c r="E150" s="14" t="s">
        <v>1627</v>
      </c>
      <c r="F150" s="141" t="str">
        <f>IF(wskakunin_owner6_JIMU_NAME="", "", wskakunin_owner6_JIMU_NAME)</f>
        <v/>
      </c>
      <c r="H150" s="15"/>
    </row>
    <row r="151" spans="1:8" ht="15" customHeight="1" x14ac:dyDescent="0.15">
      <c r="A151" s="79"/>
      <c r="B151" s="73" t="s">
        <v>155</v>
      </c>
      <c r="C151" s="14" t="s">
        <v>1628</v>
      </c>
      <c r="D151" s="141"/>
      <c r="E151" s="14" t="s">
        <v>1629</v>
      </c>
      <c r="F151" s="141" t="str">
        <f>IF(wskakunin_owner6_JIMU_NAME_KANA="","",wskakunin_owner6_JIMU_NAME_KANA)</f>
        <v/>
      </c>
      <c r="H151" s="15"/>
    </row>
    <row r="152" spans="1:8" ht="15" customHeight="1" x14ac:dyDescent="0.15">
      <c r="A152" s="79"/>
      <c r="B152" s="73" t="s">
        <v>90</v>
      </c>
      <c r="C152" s="14" t="s">
        <v>1630</v>
      </c>
      <c r="D152" s="141"/>
      <c r="E152" s="14" t="s">
        <v>1631</v>
      </c>
      <c r="F152" s="141" t="str">
        <f>IF(wskakunin_owner6_POST="", "", wskakunin_owner6_POST)</f>
        <v/>
      </c>
      <c r="H152" s="15"/>
    </row>
    <row r="153" spans="1:8" ht="15" customHeight="1" x14ac:dyDescent="0.15">
      <c r="A153" s="79"/>
      <c r="B153" s="73" t="s">
        <v>156</v>
      </c>
      <c r="C153" s="14" t="s">
        <v>1632</v>
      </c>
      <c r="D153" s="141"/>
      <c r="E153" s="14" t="s">
        <v>1633</v>
      </c>
      <c r="F153" s="141" t="str">
        <f>IF(wskakunin_owner6_POST_KANA="","",wskakunin_owner6_POST_KANA)</f>
        <v/>
      </c>
      <c r="H153" s="15"/>
    </row>
    <row r="154" spans="1:8" ht="15" customHeight="1" x14ac:dyDescent="0.15">
      <c r="A154" s="79"/>
      <c r="B154" s="73" t="s">
        <v>92</v>
      </c>
      <c r="C154" s="14" t="s">
        <v>1634</v>
      </c>
      <c r="D154" s="141"/>
      <c r="E154" s="14" t="s">
        <v>1635</v>
      </c>
      <c r="F154" s="141" t="str">
        <f>IF(wskakunin_owner6_NAME="", "", wskakunin_owner6_NAME)</f>
        <v/>
      </c>
      <c r="H154" s="15"/>
    </row>
    <row r="155" spans="1:8" ht="15" customHeight="1" x14ac:dyDescent="0.15">
      <c r="A155" s="46"/>
      <c r="B155" s="73" t="s">
        <v>157</v>
      </c>
      <c r="C155" s="14" t="s">
        <v>1636</v>
      </c>
      <c r="D155" s="141"/>
      <c r="E155" s="14" t="s">
        <v>1637</v>
      </c>
      <c r="F155" s="141" t="str">
        <f>IF(wskakunin_owner6_NAME_KANA="","",wskakunin_owner6_NAME_KANA)</f>
        <v/>
      </c>
      <c r="H155" s="15"/>
    </row>
    <row r="156" spans="1:8" ht="15" customHeight="1" x14ac:dyDescent="0.15">
      <c r="A156" s="46"/>
      <c r="B156" s="73" t="s">
        <v>5</v>
      </c>
      <c r="C156" s="14" t="s">
        <v>1638</v>
      </c>
      <c r="D156" s="213"/>
      <c r="E156" s="14" t="s">
        <v>1639</v>
      </c>
      <c r="F156" s="141" t="str">
        <f>IF(wskakunin_owner6_ZIP="", "", wskakunin_owner6_ZIP)</f>
        <v/>
      </c>
      <c r="H156" s="15"/>
    </row>
    <row r="157" spans="1:8" ht="15" customHeight="1" x14ac:dyDescent="0.15">
      <c r="A157" s="46"/>
      <c r="B157" s="73" t="s">
        <v>6</v>
      </c>
      <c r="C157" s="14" t="s">
        <v>1640</v>
      </c>
      <c r="D157" s="141"/>
      <c r="E157" s="14" t="s">
        <v>1641</v>
      </c>
      <c r="F157" s="141" t="str">
        <f>IF(wskakunin_owner6__address="", "", wskakunin_owner6__address)</f>
        <v/>
      </c>
      <c r="H157" s="15"/>
    </row>
    <row r="158" spans="1:8" ht="15" customHeight="1" x14ac:dyDescent="0.15">
      <c r="A158" s="46"/>
      <c r="B158" s="73" t="s">
        <v>7</v>
      </c>
      <c r="C158" s="14" t="s">
        <v>1642</v>
      </c>
      <c r="D158" s="213"/>
      <c r="E158" s="14" t="s">
        <v>1643</v>
      </c>
      <c r="F158" s="141" t="str">
        <f>IF(wskakunin_owner6_TEL="", "", wskakunin_owner6_TEL)</f>
        <v/>
      </c>
      <c r="H158" s="15"/>
    </row>
    <row r="159" spans="1:8" ht="15" customHeight="1" x14ac:dyDescent="0.15">
      <c r="A159" s="46"/>
      <c r="B159" s="73" t="s">
        <v>151</v>
      </c>
      <c r="E159" s="14" t="s">
        <v>2794</v>
      </c>
      <c r="F159" s="141" t="str">
        <f>wskakunin_owner6_JIMU_NAME&amp;IF(wskakunin_owner6_JIMU_NAME="","",CHAR(10))&amp;cst_wskakunin_owner6__space2</f>
        <v/>
      </c>
      <c r="H159" s="15"/>
    </row>
    <row r="160" spans="1:8" ht="15" customHeight="1" x14ac:dyDescent="0.15">
      <c r="A160" s="46"/>
      <c r="B160" s="140"/>
      <c r="D160" s="30"/>
      <c r="F160" s="15"/>
      <c r="H160" s="15"/>
    </row>
    <row r="161" spans="1:8" ht="15" customHeight="1" x14ac:dyDescent="0.15">
      <c r="A161" s="42" t="s">
        <v>1551</v>
      </c>
      <c r="B161" s="45"/>
      <c r="H161" s="15"/>
    </row>
    <row r="162" spans="1:8" ht="15" customHeight="1" x14ac:dyDescent="0.15">
      <c r="A162" s="79"/>
      <c r="B162" s="73" t="s">
        <v>91</v>
      </c>
      <c r="C162" s="14" t="s">
        <v>1644</v>
      </c>
      <c r="D162" s="141"/>
      <c r="E162" s="14" t="s">
        <v>1645</v>
      </c>
      <c r="F162" s="141" t="str">
        <f>IF(wskakunin_owner7_JIMU_NAME="", "", wskakunin_owner7_JIMU_NAME)</f>
        <v/>
      </c>
      <c r="H162" s="15"/>
    </row>
    <row r="163" spans="1:8" ht="15" customHeight="1" x14ac:dyDescent="0.15">
      <c r="A163" s="79"/>
      <c r="B163" s="73" t="s">
        <v>155</v>
      </c>
      <c r="C163" s="14" t="s">
        <v>1646</v>
      </c>
      <c r="D163" s="141"/>
      <c r="E163" s="14" t="s">
        <v>1647</v>
      </c>
      <c r="F163" s="141" t="str">
        <f>IF(wskakunin_owner7_JIMU_NAME_KANA="","",wskakunin_owner7_JIMU_NAME_KANA)</f>
        <v/>
      </c>
      <c r="H163" s="15"/>
    </row>
    <row r="164" spans="1:8" ht="15" customHeight="1" x14ac:dyDescent="0.15">
      <c r="A164" s="79"/>
      <c r="B164" s="73" t="s">
        <v>90</v>
      </c>
      <c r="C164" s="14" t="s">
        <v>1648</v>
      </c>
      <c r="D164" s="141"/>
      <c r="E164" s="14" t="s">
        <v>1649</v>
      </c>
      <c r="F164" s="141" t="str">
        <f>IF(wskakunin_owner7_POST="", "", wskakunin_owner7_POST)</f>
        <v/>
      </c>
      <c r="H164" s="15"/>
    </row>
    <row r="165" spans="1:8" ht="15" customHeight="1" x14ac:dyDescent="0.15">
      <c r="A165" s="79"/>
      <c r="B165" s="73" t="s">
        <v>156</v>
      </c>
      <c r="C165" s="14" t="s">
        <v>1650</v>
      </c>
      <c r="D165" s="141"/>
      <c r="E165" s="14" t="s">
        <v>1651</v>
      </c>
      <c r="F165" s="141" t="str">
        <f>IF(wskakunin_owner7_POST_KANA="","",wskakunin_owner7_POST_KANA)</f>
        <v/>
      </c>
      <c r="H165" s="15"/>
    </row>
    <row r="166" spans="1:8" ht="15" customHeight="1" x14ac:dyDescent="0.15">
      <c r="A166" s="79"/>
      <c r="B166" s="73" t="s">
        <v>92</v>
      </c>
      <c r="C166" s="14" t="s">
        <v>1652</v>
      </c>
      <c r="D166" s="141"/>
      <c r="E166" s="14" t="s">
        <v>1653</v>
      </c>
      <c r="F166" s="141" t="str">
        <f>IF(wskakunin_owner7_NAME="", "", wskakunin_owner7_NAME)</f>
        <v/>
      </c>
      <c r="H166" s="15"/>
    </row>
    <row r="167" spans="1:8" ht="15" customHeight="1" x14ac:dyDescent="0.15">
      <c r="A167" s="46"/>
      <c r="B167" s="73" t="s">
        <v>157</v>
      </c>
      <c r="C167" s="14" t="s">
        <v>1654</v>
      </c>
      <c r="D167" s="141"/>
      <c r="E167" s="14" t="s">
        <v>1655</v>
      </c>
      <c r="F167" s="141" t="str">
        <f>IF(wskakunin_owner7_NAME_KANA="","",wskakunin_owner7_NAME_KANA)</f>
        <v/>
      </c>
      <c r="H167" s="15"/>
    </row>
    <row r="168" spans="1:8" ht="15" customHeight="1" x14ac:dyDescent="0.15">
      <c r="A168" s="46"/>
      <c r="B168" s="73" t="s">
        <v>5</v>
      </c>
      <c r="C168" s="14" t="s">
        <v>1656</v>
      </c>
      <c r="D168" s="213"/>
      <c r="E168" s="14" t="s">
        <v>1657</v>
      </c>
      <c r="F168" s="141" t="str">
        <f>IF(wskakunin_owner7_ZIP="", "", wskakunin_owner7_ZIP)</f>
        <v/>
      </c>
      <c r="H168" s="15"/>
    </row>
    <row r="169" spans="1:8" ht="15" customHeight="1" x14ac:dyDescent="0.15">
      <c r="A169" s="46"/>
      <c r="B169" s="73" t="s">
        <v>6</v>
      </c>
      <c r="C169" s="14" t="s">
        <v>1658</v>
      </c>
      <c r="D169" s="141"/>
      <c r="E169" s="14" t="s">
        <v>1659</v>
      </c>
      <c r="F169" s="141" t="str">
        <f>IF(wskakunin_owner7__address="", "", wskakunin_owner7__address)</f>
        <v/>
      </c>
      <c r="H169" s="15"/>
    </row>
    <row r="170" spans="1:8" ht="15" customHeight="1" x14ac:dyDescent="0.15">
      <c r="A170" s="46"/>
      <c r="B170" s="73" t="s">
        <v>7</v>
      </c>
      <c r="C170" s="14" t="s">
        <v>1660</v>
      </c>
      <c r="D170" s="213"/>
      <c r="E170" s="14" t="s">
        <v>1661</v>
      </c>
      <c r="F170" s="141" t="str">
        <f>IF(wskakunin_owner7_TEL="", "", wskakunin_owner7_TEL)</f>
        <v/>
      </c>
      <c r="H170" s="15"/>
    </row>
    <row r="171" spans="1:8" ht="15" customHeight="1" x14ac:dyDescent="0.15">
      <c r="A171" s="46"/>
      <c r="B171" s="140"/>
      <c r="D171" s="30"/>
      <c r="F171" s="15"/>
      <c r="H171" s="15"/>
    </row>
    <row r="172" spans="1:8" ht="15" customHeight="1" x14ac:dyDescent="0.15">
      <c r="A172" s="42" t="s">
        <v>1552</v>
      </c>
      <c r="B172" s="45"/>
      <c r="H172" s="15"/>
    </row>
    <row r="173" spans="1:8" ht="15" customHeight="1" x14ac:dyDescent="0.15">
      <c r="A173" s="79"/>
      <c r="B173" s="73" t="s">
        <v>91</v>
      </c>
      <c r="C173" s="14" t="s">
        <v>1662</v>
      </c>
      <c r="D173" s="141"/>
      <c r="E173" s="14" t="s">
        <v>1663</v>
      </c>
      <c r="F173" s="141" t="str">
        <f>IF(wskakunin_owner8_JIMU_NAME="", "", wskakunin_owner8_JIMU_NAME)</f>
        <v/>
      </c>
      <c r="H173" s="15"/>
    </row>
    <row r="174" spans="1:8" ht="15" customHeight="1" x14ac:dyDescent="0.15">
      <c r="A174" s="79"/>
      <c r="B174" s="73" t="s">
        <v>155</v>
      </c>
      <c r="C174" s="14" t="s">
        <v>1664</v>
      </c>
      <c r="D174" s="141"/>
      <c r="E174" s="14" t="s">
        <v>1665</v>
      </c>
      <c r="F174" s="141" t="str">
        <f>IF(wskakunin_owner8_JIMU_NAME_KANA="","",wskakunin_owner8_JIMU_NAME_KANA)</f>
        <v/>
      </c>
      <c r="H174" s="15"/>
    </row>
    <row r="175" spans="1:8" ht="15" customHeight="1" x14ac:dyDescent="0.15">
      <c r="A175" s="79"/>
      <c r="B175" s="73" t="s">
        <v>90</v>
      </c>
      <c r="C175" s="14" t="s">
        <v>1666</v>
      </c>
      <c r="D175" s="141"/>
      <c r="E175" s="14" t="s">
        <v>1667</v>
      </c>
      <c r="F175" s="141" t="str">
        <f>IF(wskakunin_owner8_POST="", "", wskakunin_owner8_POST)</f>
        <v/>
      </c>
      <c r="H175" s="15"/>
    </row>
    <row r="176" spans="1:8" ht="15" customHeight="1" x14ac:dyDescent="0.15">
      <c r="A176" s="79"/>
      <c r="B176" s="73" t="s">
        <v>156</v>
      </c>
      <c r="C176" s="14" t="s">
        <v>1668</v>
      </c>
      <c r="D176" s="141"/>
      <c r="E176" s="14" t="s">
        <v>1669</v>
      </c>
      <c r="F176" s="141" t="str">
        <f>IF(wskakunin_owner8_POST_KANA="","",wskakunin_owner8_POST_KANA)</f>
        <v/>
      </c>
      <c r="H176" s="15"/>
    </row>
    <row r="177" spans="1:8" ht="15" customHeight="1" x14ac:dyDescent="0.15">
      <c r="A177" s="79"/>
      <c r="B177" s="73" t="s">
        <v>92</v>
      </c>
      <c r="C177" s="14" t="s">
        <v>1670</v>
      </c>
      <c r="D177" s="141"/>
      <c r="E177" s="14" t="s">
        <v>1671</v>
      </c>
      <c r="F177" s="141" t="str">
        <f>IF(wskakunin_owner8_NAME="", "", wskakunin_owner8_NAME)</f>
        <v/>
      </c>
      <c r="H177" s="15"/>
    </row>
    <row r="178" spans="1:8" ht="15" customHeight="1" x14ac:dyDescent="0.15">
      <c r="A178" s="46"/>
      <c r="B178" s="73" t="s">
        <v>157</v>
      </c>
      <c r="C178" s="14" t="s">
        <v>1672</v>
      </c>
      <c r="D178" s="141"/>
      <c r="E178" s="14" t="s">
        <v>1673</v>
      </c>
      <c r="F178" s="141" t="str">
        <f>IF(wskakunin_owner8_NAME_KANA="","",wskakunin_owner8_NAME_KANA)</f>
        <v/>
      </c>
      <c r="H178" s="15"/>
    </row>
    <row r="179" spans="1:8" ht="15" customHeight="1" x14ac:dyDescent="0.15">
      <c r="A179" s="46"/>
      <c r="B179" s="73" t="s">
        <v>5</v>
      </c>
      <c r="C179" s="14" t="s">
        <v>1674</v>
      </c>
      <c r="D179" s="213"/>
      <c r="E179" s="14" t="s">
        <v>1675</v>
      </c>
      <c r="F179" s="141" t="str">
        <f>IF(wskakunin_owner8_ZIP="", "", wskakunin_owner8_ZIP)</f>
        <v/>
      </c>
      <c r="H179" s="15"/>
    </row>
    <row r="180" spans="1:8" ht="15" customHeight="1" x14ac:dyDescent="0.15">
      <c r="A180" s="46"/>
      <c r="B180" s="73" t="s">
        <v>6</v>
      </c>
      <c r="C180" s="14" t="s">
        <v>1676</v>
      </c>
      <c r="D180" s="141"/>
      <c r="E180" s="14" t="s">
        <v>1677</v>
      </c>
      <c r="F180" s="141" t="str">
        <f>IF(wskakunin_owner8__address="", "", wskakunin_owner8__address)</f>
        <v/>
      </c>
      <c r="H180" s="15"/>
    </row>
    <row r="181" spans="1:8" ht="15" customHeight="1" x14ac:dyDescent="0.15">
      <c r="A181" s="46"/>
      <c r="B181" s="73" t="s">
        <v>7</v>
      </c>
      <c r="C181" s="14" t="s">
        <v>1678</v>
      </c>
      <c r="D181" s="213"/>
      <c r="E181" s="14" t="s">
        <v>1679</v>
      </c>
      <c r="F181" s="141" t="str">
        <f>IF(wskakunin_owner8_TEL="", "", wskakunin_owner8_TEL)</f>
        <v/>
      </c>
      <c r="H181" s="15"/>
    </row>
    <row r="182" spans="1:8" ht="15" customHeight="1" x14ac:dyDescent="0.15">
      <c r="A182" s="46"/>
      <c r="B182" s="140"/>
      <c r="D182" s="30"/>
      <c r="F182" s="15"/>
      <c r="H182" s="15"/>
    </row>
    <row r="183" spans="1:8" ht="15" customHeight="1" x14ac:dyDescent="0.15">
      <c r="A183" s="42" t="s">
        <v>1553</v>
      </c>
      <c r="B183" s="45"/>
      <c r="H183" s="15"/>
    </row>
    <row r="184" spans="1:8" ht="15" customHeight="1" x14ac:dyDescent="0.15">
      <c r="A184" s="79"/>
      <c r="B184" s="73" t="s">
        <v>91</v>
      </c>
      <c r="C184" s="14" t="s">
        <v>1680</v>
      </c>
      <c r="D184" s="141"/>
      <c r="E184" s="14" t="s">
        <v>1681</v>
      </c>
      <c r="F184" s="141" t="str">
        <f>IF(wskakunin_owner9_JIMU_NAME="", "", wskakunin_owner9_JIMU_NAME)</f>
        <v/>
      </c>
      <c r="H184" s="15"/>
    </row>
    <row r="185" spans="1:8" ht="15" customHeight="1" x14ac:dyDescent="0.15">
      <c r="A185" s="79"/>
      <c r="B185" s="73" t="s">
        <v>155</v>
      </c>
      <c r="C185" s="14" t="s">
        <v>1682</v>
      </c>
      <c r="D185" s="141"/>
      <c r="E185" s="14" t="s">
        <v>1683</v>
      </c>
      <c r="F185" s="141" t="str">
        <f>IF(wskakunin_owner9_JIMU_NAME_KANA="","",wskakunin_owner9_JIMU_NAME_KANA)</f>
        <v/>
      </c>
      <c r="H185" s="15"/>
    </row>
    <row r="186" spans="1:8" ht="15" customHeight="1" x14ac:dyDescent="0.15">
      <c r="A186" s="79"/>
      <c r="B186" s="73" t="s">
        <v>90</v>
      </c>
      <c r="C186" s="14" t="s">
        <v>1684</v>
      </c>
      <c r="D186" s="141"/>
      <c r="E186" s="14" t="s">
        <v>1685</v>
      </c>
      <c r="F186" s="141" t="str">
        <f>IF(wskakunin_owner9_POST="", "", wskakunin_owner9_POST)</f>
        <v/>
      </c>
      <c r="H186" s="15"/>
    </row>
    <row r="187" spans="1:8" ht="15" customHeight="1" x14ac:dyDescent="0.15">
      <c r="A187" s="79"/>
      <c r="B187" s="73" t="s">
        <v>156</v>
      </c>
      <c r="C187" s="14" t="s">
        <v>1686</v>
      </c>
      <c r="D187" s="141"/>
      <c r="E187" s="14" t="s">
        <v>1687</v>
      </c>
      <c r="F187" s="141" t="str">
        <f>IF(wskakunin_owner9_POST_KANA="","",wskakunin_owner9_POST_KANA)</f>
        <v/>
      </c>
      <c r="H187" s="15"/>
    </row>
    <row r="188" spans="1:8" ht="15" customHeight="1" x14ac:dyDescent="0.15">
      <c r="A188" s="79"/>
      <c r="B188" s="73" t="s">
        <v>92</v>
      </c>
      <c r="C188" s="14" t="s">
        <v>1688</v>
      </c>
      <c r="D188" s="141"/>
      <c r="E188" s="14" t="s">
        <v>1689</v>
      </c>
      <c r="F188" s="141" t="str">
        <f>IF(wskakunin_owner9_NAME="", "", wskakunin_owner9_NAME)</f>
        <v/>
      </c>
      <c r="H188" s="15"/>
    </row>
    <row r="189" spans="1:8" ht="15" customHeight="1" x14ac:dyDescent="0.15">
      <c r="A189" s="46"/>
      <c r="B189" s="73" t="s">
        <v>157</v>
      </c>
      <c r="C189" s="14" t="s">
        <v>1690</v>
      </c>
      <c r="D189" s="141"/>
      <c r="E189" s="14" t="s">
        <v>1691</v>
      </c>
      <c r="F189" s="141" t="str">
        <f>IF(wskakunin_owner9_NAME_KANA="","",wskakunin_owner9_NAME_KANA)</f>
        <v/>
      </c>
      <c r="H189" s="15"/>
    </row>
    <row r="190" spans="1:8" ht="15" customHeight="1" x14ac:dyDescent="0.15">
      <c r="A190" s="46"/>
      <c r="B190" s="73" t="s">
        <v>5</v>
      </c>
      <c r="C190" s="14" t="s">
        <v>1692</v>
      </c>
      <c r="D190" s="213"/>
      <c r="E190" s="14" t="s">
        <v>1693</v>
      </c>
      <c r="F190" s="141" t="str">
        <f>IF(wskakunin_owner9_ZIP="", "", wskakunin_owner9_ZIP)</f>
        <v/>
      </c>
      <c r="H190" s="15"/>
    </row>
    <row r="191" spans="1:8" ht="15" customHeight="1" x14ac:dyDescent="0.15">
      <c r="A191" s="46"/>
      <c r="B191" s="73" t="s">
        <v>6</v>
      </c>
      <c r="C191" s="14" t="s">
        <v>1694</v>
      </c>
      <c r="D191" s="141"/>
      <c r="E191" s="14" t="s">
        <v>1695</v>
      </c>
      <c r="F191" s="141" t="str">
        <f>IF(wskakunin_owner9__address="", "", wskakunin_owner9__address)</f>
        <v/>
      </c>
      <c r="H191" s="15"/>
    </row>
    <row r="192" spans="1:8" ht="15" customHeight="1" x14ac:dyDescent="0.15">
      <c r="A192" s="46"/>
      <c r="B192" s="73" t="s">
        <v>7</v>
      </c>
      <c r="C192" s="14" t="s">
        <v>1696</v>
      </c>
      <c r="D192" s="213"/>
      <c r="E192" s="14" t="s">
        <v>1697</v>
      </c>
      <c r="F192" s="141" t="str">
        <f>IF(wskakunin_owner9_TEL="", "", wskakunin_owner9_TEL)</f>
        <v/>
      </c>
      <c r="H192" s="15"/>
    </row>
    <row r="193" spans="1:8" ht="15" customHeight="1" x14ac:dyDescent="0.15">
      <c r="A193" s="46"/>
      <c r="B193" s="140"/>
      <c r="D193" s="30"/>
      <c r="F193" s="15"/>
      <c r="H193" s="15"/>
    </row>
    <row r="194" spans="1:8" ht="15" customHeight="1" x14ac:dyDescent="0.15">
      <c r="A194" s="48" t="s">
        <v>100</v>
      </c>
      <c r="B194" s="107"/>
      <c r="G194" s="15"/>
      <c r="H194" s="15"/>
    </row>
    <row r="195" spans="1:8" ht="15" customHeight="1" x14ac:dyDescent="0.15">
      <c r="A195" s="108"/>
      <c r="B195" s="72" t="s">
        <v>606</v>
      </c>
      <c r="C195" s="14" t="s">
        <v>572</v>
      </c>
      <c r="D195" s="219" t="s">
        <v>3446</v>
      </c>
      <c r="E195" s="14" t="s">
        <v>147</v>
      </c>
      <c r="F195" s="219" t="str">
        <f>IF(wskakunin_dairi1__sikaku="", "", wskakunin_dairi1__sikaku)</f>
        <v>一級建築士国土交通大臣登録第380565号</v>
      </c>
      <c r="G195" s="15"/>
      <c r="H195" s="15"/>
    </row>
    <row r="196" spans="1:8" ht="15" customHeight="1" x14ac:dyDescent="0.15">
      <c r="A196" s="108"/>
      <c r="B196" s="72" t="s">
        <v>607</v>
      </c>
      <c r="C196" s="14" t="s">
        <v>604</v>
      </c>
      <c r="D196" s="219" t="s">
        <v>176</v>
      </c>
      <c r="E196" s="14" t="s">
        <v>712</v>
      </c>
      <c r="F196" s="219" t="str">
        <f>IF(wskakunin_dairi1_SIKAKU__label="","",wskakunin_dairi1_SIKAKU__label)</f>
        <v>一級</v>
      </c>
      <c r="G196" s="15"/>
      <c r="H196" s="15"/>
    </row>
    <row r="197" spans="1:8" ht="15" customHeight="1" x14ac:dyDescent="0.15">
      <c r="A197" s="108"/>
      <c r="B197" s="72" t="s">
        <v>602</v>
      </c>
      <c r="C197" s="14" t="s">
        <v>1499</v>
      </c>
      <c r="D197" s="219" t="s">
        <v>3453</v>
      </c>
      <c r="E197" s="14" t="s">
        <v>713</v>
      </c>
      <c r="F197" s="219" t="str">
        <f>IF(wskakunin_dairi1_TOUROKU_KIKAN__label="","",wskakunin_dairi1_TOUROKU_KIKAN__label)</f>
        <v>国土交通大臣</v>
      </c>
      <c r="G197" s="15"/>
      <c r="H197" s="15"/>
    </row>
    <row r="198" spans="1:8" ht="15" customHeight="1" x14ac:dyDescent="0.15">
      <c r="A198" s="108"/>
      <c r="B198" s="72" t="s">
        <v>603</v>
      </c>
      <c r="C198" s="14" t="s">
        <v>605</v>
      </c>
      <c r="D198" s="221" t="s">
        <v>3450</v>
      </c>
      <c r="E198" s="14" t="s">
        <v>711</v>
      </c>
      <c r="F198" s="219" t="str">
        <f>IF(wskakunin_dairi1_KENTIKUSI_NO="","",wskakunin_dairi1_KENTIKUSI_NO)</f>
        <v>380565</v>
      </c>
      <c r="G198" s="15"/>
      <c r="H198" s="15"/>
    </row>
    <row r="199" spans="1:8" ht="15" customHeight="1" x14ac:dyDescent="0.15">
      <c r="A199" s="57"/>
      <c r="B199" s="72" t="s">
        <v>92</v>
      </c>
      <c r="C199" s="14" t="s">
        <v>128</v>
      </c>
      <c r="D199" s="219" t="s">
        <v>3451</v>
      </c>
      <c r="E199" s="14" t="s">
        <v>148</v>
      </c>
      <c r="F199" s="219" t="str">
        <f>IF(wskakunin_dairi1_NAME="", "", wskakunin_dairi1_NAME)</f>
        <v>武智　且洋</v>
      </c>
      <c r="G199" s="15"/>
      <c r="H199" s="15"/>
    </row>
    <row r="200" spans="1:8" ht="15" customHeight="1" x14ac:dyDescent="0.15">
      <c r="A200" s="57"/>
      <c r="B200" s="72" t="s">
        <v>96</v>
      </c>
      <c r="C200" s="14" t="s">
        <v>129</v>
      </c>
      <c r="D200" s="219"/>
      <c r="E200" s="14" t="s">
        <v>149</v>
      </c>
      <c r="F200" s="219" t="str">
        <f>IF(wskakunin_dairi1_NAME_KANA="", "", wskakunin_dairi1_NAME_KANA)</f>
        <v/>
      </c>
      <c r="G200" s="15"/>
      <c r="H200" s="15"/>
    </row>
    <row r="201" spans="1:8" ht="15" customHeight="1" x14ac:dyDescent="0.15">
      <c r="A201" s="57"/>
      <c r="B201" s="72" t="s">
        <v>608</v>
      </c>
      <c r="C201" s="14" t="s">
        <v>611</v>
      </c>
      <c r="D201" s="219" t="s">
        <v>3447</v>
      </c>
      <c r="E201" s="14" t="s">
        <v>150</v>
      </c>
      <c r="F201" s="219" t="str">
        <f>IF(wskakunin_dairi1_JIMU__sikaku="", "", wskakunin_dairi1_JIMU__sikaku)</f>
        <v>一級建築士事務所香川県知事登録第2347号</v>
      </c>
      <c r="G201" s="15"/>
      <c r="H201" s="15"/>
    </row>
    <row r="202" spans="1:8" ht="15" customHeight="1" x14ac:dyDescent="0.15">
      <c r="A202" s="57"/>
      <c r="B202" s="72" t="s">
        <v>93</v>
      </c>
      <c r="C202" s="14" t="s">
        <v>612</v>
      </c>
      <c r="D202" s="219" t="s">
        <v>176</v>
      </c>
      <c r="E202" s="14" t="s">
        <v>1541</v>
      </c>
      <c r="F202" s="219" t="str">
        <f>IF(wskakunin_dairi1_JIMU_SIKAKU__label="","",wskakunin_dairi1_JIMU_SIKAKU__label)</f>
        <v>一級</v>
      </c>
      <c r="G202" s="15"/>
      <c r="H202" s="15"/>
    </row>
    <row r="203" spans="1:8" ht="15" customHeight="1" x14ac:dyDescent="0.15">
      <c r="A203" s="57"/>
      <c r="B203" s="72" t="s">
        <v>609</v>
      </c>
      <c r="C203" s="14" t="s">
        <v>1498</v>
      </c>
      <c r="D203" s="219" t="s">
        <v>3442</v>
      </c>
      <c r="E203" s="14" t="s">
        <v>714</v>
      </c>
      <c r="F203" s="219" t="str">
        <f>IF(wskakunin_dairi1_JIMU_TOUROKU_KIKAN__label="","",wskakunin_dairi1_JIMU_TOUROKU_KIKAN__label)</f>
        <v>香川県</v>
      </c>
      <c r="G203" s="15"/>
      <c r="H203" s="15"/>
    </row>
    <row r="204" spans="1:8" ht="15" customHeight="1" x14ac:dyDescent="0.15">
      <c r="A204" s="57"/>
      <c r="B204" s="72" t="s">
        <v>610</v>
      </c>
      <c r="C204" s="14" t="s">
        <v>613</v>
      </c>
      <c r="D204" s="221" t="s">
        <v>3449</v>
      </c>
      <c r="E204" s="14" t="s">
        <v>715</v>
      </c>
      <c r="F204" s="219" t="str">
        <f>IF(wskakunin_dairi1_JIMU_NO="","",wskakunin_dairi1_JIMU_NO)</f>
        <v>2347</v>
      </c>
      <c r="G204" s="15"/>
      <c r="H204" s="15"/>
    </row>
    <row r="205" spans="1:8" ht="15" customHeight="1" x14ac:dyDescent="0.15">
      <c r="A205" s="57"/>
      <c r="B205" s="72" t="s">
        <v>94</v>
      </c>
      <c r="C205" s="14" t="s">
        <v>130</v>
      </c>
      <c r="D205" s="219" t="s">
        <v>3448</v>
      </c>
      <c r="E205" s="14" t="s">
        <v>159</v>
      </c>
      <c r="F205" s="219" t="str">
        <f>IF(wskakunin_dairi1_JIMU_NAME="", "",wskakunin_dairi1_JIMU_NAME)</f>
        <v>株式会社コラボハウス一級建築士事務所</v>
      </c>
      <c r="G205" s="15"/>
      <c r="H205" s="15"/>
    </row>
    <row r="206" spans="1:8" ht="15" customHeight="1" x14ac:dyDescent="0.15">
      <c r="A206" s="57"/>
      <c r="B206" s="72" t="s">
        <v>5</v>
      </c>
      <c r="C206" s="14" t="s">
        <v>131</v>
      </c>
      <c r="D206" s="221" t="s">
        <v>3454</v>
      </c>
      <c r="E206" s="14" t="s">
        <v>160</v>
      </c>
      <c r="F206" s="219" t="str">
        <f>IF(wskakunin_dairi1_ZIP="", "", wskakunin_dairi1_ZIP)</f>
        <v>761-0312</v>
      </c>
      <c r="G206" s="15"/>
      <c r="H206" s="15"/>
    </row>
    <row r="207" spans="1:8" ht="15" customHeight="1" x14ac:dyDescent="0.15">
      <c r="A207" s="57"/>
      <c r="B207" s="72" t="s">
        <v>8</v>
      </c>
      <c r="C207" s="14" t="s">
        <v>132</v>
      </c>
      <c r="D207" s="219" t="s">
        <v>3445</v>
      </c>
      <c r="E207" s="14" t="s">
        <v>161</v>
      </c>
      <c r="F207" s="219" t="str">
        <f>IF(wskakunin_dairi1__address="", "", wskakunin_dairi1__address)</f>
        <v>香川県高松市東山崎町13-2</v>
      </c>
      <c r="G207" s="15"/>
      <c r="H207" s="15"/>
    </row>
    <row r="208" spans="1:8" ht="15" customHeight="1" x14ac:dyDescent="0.15">
      <c r="A208" s="57"/>
      <c r="B208" s="72" t="s">
        <v>7</v>
      </c>
      <c r="C208" s="14" t="s">
        <v>133</v>
      </c>
      <c r="D208" s="221" t="s">
        <v>3452</v>
      </c>
      <c r="E208" s="14" t="s">
        <v>162</v>
      </c>
      <c r="F208" s="219" t="str">
        <f>IF(wskakunin_dairi1_TEL="", "", wskakunin_dairi1_TEL)</f>
        <v>087-813-0909</v>
      </c>
      <c r="G208" s="15"/>
      <c r="H208" s="15"/>
    </row>
    <row r="209" spans="1:8" ht="15" customHeight="1" x14ac:dyDescent="0.15">
      <c r="A209" s="57"/>
      <c r="B209" s="72" t="s">
        <v>760</v>
      </c>
      <c r="C209" s="14" t="s">
        <v>761</v>
      </c>
      <c r="D209" s="221"/>
      <c r="E209" s="14" t="s">
        <v>762</v>
      </c>
      <c r="F209" s="219" t="str">
        <f>IF(wskakunin_dairi1_FAX="", "", wskakunin_dairi1_FAX)</f>
        <v/>
      </c>
      <c r="G209" s="15"/>
      <c r="H209" s="15"/>
    </row>
    <row r="210" spans="1:8" ht="15" customHeight="1" x14ac:dyDescent="0.15">
      <c r="A210" s="57"/>
      <c r="B210" s="109" t="s">
        <v>154</v>
      </c>
      <c r="D210" s="15"/>
      <c r="E210" s="14" t="s">
        <v>171</v>
      </c>
      <c r="F210" s="219" t="str">
        <f>IF(wskakunin_dairi1_NAME&amp;wskakunin_dairi1_JIMU_NAME="","",IF(wskakunin_dairi1_JIMU_NAME="",wskakunin_dairi1_NAME,wskakunin_dairi1_JIMU_NAME&amp;"　"&amp;wskakunin_dairi1_NAME))</f>
        <v>株式会社コラボハウス一級建築士事務所　武智　且洋</v>
      </c>
      <c r="G210" s="15"/>
      <c r="H210" s="15"/>
    </row>
    <row r="211" spans="1:8" ht="15" customHeight="1" x14ac:dyDescent="0.15">
      <c r="A211" s="57"/>
      <c r="B211" s="333" t="s">
        <v>2934</v>
      </c>
      <c r="D211" s="15"/>
      <c r="E211" s="14" t="s">
        <v>2936</v>
      </c>
      <c r="F211" s="219" t="str">
        <f>IF(cst_wskakunin_dairi1_JIMU__sikaku&lt;&gt;"",cst_wskakunin_dairi1_JIMU__sikaku&amp;"　"&amp;cst_wskakunin_dairi1_JIMU_NAME,cst_wskakunin_dairi1_JIMU_NAME)</f>
        <v>一級建築士事務所香川県知事登録第2347号　株式会社コラボハウス一級建築士事務所</v>
      </c>
      <c r="G211" s="15"/>
      <c r="H211" s="15"/>
    </row>
    <row r="212" spans="1:8" ht="15" customHeight="1" x14ac:dyDescent="0.15">
      <c r="A212" s="57"/>
      <c r="B212" s="333" t="s">
        <v>2935</v>
      </c>
      <c r="D212" s="15"/>
      <c r="E212" s="14" t="s">
        <v>2937</v>
      </c>
      <c r="F212" s="219" t="str">
        <f>IF(cst_wskakunin_dairi1__sikaku&lt;&gt;"",cst_wskakunin_dairi1__sikaku&amp;"　"&amp;cst_wskakunin_dairi1_NAME,cst_wskakunin_dairi1_NAME)</f>
        <v>一級建築士国土交通大臣登録第380565号　武智　且洋</v>
      </c>
      <c r="G212" s="15"/>
      <c r="H212" s="15"/>
    </row>
    <row r="213" spans="1:8" ht="15" customHeight="1" x14ac:dyDescent="0.15">
      <c r="A213" s="58"/>
      <c r="B213" s="110"/>
      <c r="D213" s="30"/>
      <c r="F213" s="15"/>
      <c r="G213" s="15"/>
      <c r="H213" s="15"/>
    </row>
    <row r="214" spans="1:8" ht="15" customHeight="1" x14ac:dyDescent="0.15">
      <c r="A214" s="48" t="s">
        <v>1698</v>
      </c>
      <c r="B214" s="107"/>
      <c r="G214" s="15"/>
      <c r="H214" s="15"/>
    </row>
    <row r="215" spans="1:8" ht="15" customHeight="1" x14ac:dyDescent="0.15">
      <c r="A215" s="108"/>
      <c r="B215" s="72" t="s">
        <v>606</v>
      </c>
      <c r="C215" s="14" t="s">
        <v>1702</v>
      </c>
      <c r="D215" s="219"/>
      <c r="E215" s="14" t="s">
        <v>1703</v>
      </c>
      <c r="F215" s="219" t="str">
        <f>IF(wskakunin_dairi2__sikaku="", "", wskakunin_dairi2__sikaku)</f>
        <v/>
      </c>
      <c r="H215" s="15"/>
    </row>
    <row r="216" spans="1:8" ht="15" customHeight="1" x14ac:dyDescent="0.15">
      <c r="A216" s="108"/>
      <c r="B216" s="72" t="s">
        <v>607</v>
      </c>
      <c r="C216" s="14" t="s">
        <v>1704</v>
      </c>
      <c r="D216" s="219"/>
      <c r="E216" s="14" t="s">
        <v>1705</v>
      </c>
      <c r="F216" s="219" t="str">
        <f>IF(wskakunin_dairi2_SIKAKU__label="","",wskakunin_dairi2_SIKAKU__label)</f>
        <v/>
      </c>
      <c r="H216" s="15"/>
    </row>
    <row r="217" spans="1:8" ht="15" customHeight="1" x14ac:dyDescent="0.15">
      <c r="A217" s="108"/>
      <c r="B217" s="72" t="s">
        <v>602</v>
      </c>
      <c r="C217" s="14" t="s">
        <v>1706</v>
      </c>
      <c r="D217" s="219"/>
      <c r="E217" s="14" t="s">
        <v>1707</v>
      </c>
      <c r="F217" s="219" t="str">
        <f>IF(wskakunin_dairi2_TOUROKU_KIKAN__label="","",wskakunin_dairi2_TOUROKU_KIKAN__label)</f>
        <v/>
      </c>
      <c r="H217" s="15"/>
    </row>
    <row r="218" spans="1:8" ht="15" customHeight="1" x14ac:dyDescent="0.15">
      <c r="A218" s="108"/>
      <c r="B218" s="72" t="s">
        <v>603</v>
      </c>
      <c r="C218" s="14" t="s">
        <v>1708</v>
      </c>
      <c r="D218" s="221"/>
      <c r="E218" s="14" t="s">
        <v>1709</v>
      </c>
      <c r="F218" s="219" t="str">
        <f>IF(wskakunin_dairi2_KENTIKUSI_NO="","",wskakunin_dairi2_KENTIKUSI_NO)</f>
        <v/>
      </c>
      <c r="H218" s="15"/>
    </row>
    <row r="219" spans="1:8" ht="15" customHeight="1" x14ac:dyDescent="0.15">
      <c r="A219" s="57"/>
      <c r="B219" s="72" t="s">
        <v>92</v>
      </c>
      <c r="C219" s="14" t="s">
        <v>1710</v>
      </c>
      <c r="D219" s="219"/>
      <c r="E219" s="14" t="s">
        <v>1711</v>
      </c>
      <c r="F219" s="219" t="str">
        <f>IF(wskakunin_dairi2_NAME="", "", wskakunin_dairi2_NAME)</f>
        <v/>
      </c>
      <c r="H219" s="15"/>
    </row>
    <row r="220" spans="1:8" ht="15" customHeight="1" x14ac:dyDescent="0.15">
      <c r="A220" s="57"/>
      <c r="B220" s="72" t="s">
        <v>96</v>
      </c>
      <c r="C220" s="14" t="s">
        <v>1712</v>
      </c>
      <c r="D220" s="219"/>
      <c r="E220" s="14" t="s">
        <v>1713</v>
      </c>
      <c r="F220" s="219" t="str">
        <f>IF(wskakunin_dairi2_NAME_KANA="", "", wskakunin_dairi2_NAME_KANA)</f>
        <v/>
      </c>
      <c r="H220" s="15"/>
    </row>
    <row r="221" spans="1:8" ht="15" customHeight="1" x14ac:dyDescent="0.15">
      <c r="A221" s="57"/>
      <c r="B221" s="72" t="s">
        <v>608</v>
      </c>
      <c r="C221" s="14" t="s">
        <v>1714</v>
      </c>
      <c r="D221" s="219"/>
      <c r="E221" s="14" t="s">
        <v>1715</v>
      </c>
      <c r="F221" s="219" t="str">
        <f>IF(wskakunin_dairi2_JIMU__sikaku="", "", wskakunin_dairi2_JIMU__sikaku)</f>
        <v/>
      </c>
      <c r="H221" s="15"/>
    </row>
    <row r="222" spans="1:8" ht="15" customHeight="1" x14ac:dyDescent="0.15">
      <c r="A222" s="57"/>
      <c r="B222" s="72" t="s">
        <v>93</v>
      </c>
      <c r="C222" s="14" t="s">
        <v>1716</v>
      </c>
      <c r="D222" s="219"/>
      <c r="E222" s="14" t="s">
        <v>1717</v>
      </c>
      <c r="F222" s="219" t="str">
        <f>IF(wskakunin_dairi2_JIMU_SIKAKU__label="","",wskakunin_dairi2_JIMU_SIKAKU__label)</f>
        <v/>
      </c>
      <c r="H222" s="15"/>
    </row>
    <row r="223" spans="1:8" ht="15" customHeight="1" x14ac:dyDescent="0.15">
      <c r="A223" s="57"/>
      <c r="B223" s="72" t="s">
        <v>609</v>
      </c>
      <c r="C223" s="14" t="s">
        <v>1718</v>
      </c>
      <c r="D223" s="219"/>
      <c r="E223" s="14" t="s">
        <v>1719</v>
      </c>
      <c r="F223" s="219" t="str">
        <f>IF(wskakunin_dairi2_JIMU_TOUROKU_KIKAN__label="","",wskakunin_dairi2_JIMU_TOUROKU_KIKAN__label)</f>
        <v/>
      </c>
      <c r="H223" s="15"/>
    </row>
    <row r="224" spans="1:8" ht="15" customHeight="1" x14ac:dyDescent="0.15">
      <c r="A224" s="57"/>
      <c r="B224" s="72" t="s">
        <v>610</v>
      </c>
      <c r="C224" s="14" t="s">
        <v>1720</v>
      </c>
      <c r="D224" s="221"/>
      <c r="E224" s="14" t="s">
        <v>1721</v>
      </c>
      <c r="F224" s="219" t="str">
        <f>IF(wskakunin_dairi2_JIMU_NO="","",wskakunin_dairi2_JIMU_NO)</f>
        <v/>
      </c>
      <c r="H224" s="15"/>
    </row>
    <row r="225" spans="1:8" ht="15" customHeight="1" x14ac:dyDescent="0.15">
      <c r="A225" s="57"/>
      <c r="B225" s="72" t="s">
        <v>94</v>
      </c>
      <c r="C225" s="14" t="s">
        <v>1722</v>
      </c>
      <c r="D225" s="219"/>
      <c r="E225" s="14" t="s">
        <v>1723</v>
      </c>
      <c r="F225" s="219" t="str">
        <f>IF(wskakunin_dairi2_JIMU_NAME="", "",wskakunin_dairi2_JIMU_NAME)</f>
        <v/>
      </c>
      <c r="H225" s="15"/>
    </row>
    <row r="226" spans="1:8" ht="15" customHeight="1" x14ac:dyDescent="0.15">
      <c r="A226" s="57"/>
      <c r="B226" s="72" t="s">
        <v>5</v>
      </c>
      <c r="C226" s="14" t="s">
        <v>1724</v>
      </c>
      <c r="D226" s="221"/>
      <c r="E226" s="14" t="s">
        <v>1725</v>
      </c>
      <c r="F226" s="219" t="str">
        <f>IF(wskakunin_dairi2_ZIP="", "", wskakunin_dairi2_ZIP)</f>
        <v/>
      </c>
      <c r="H226" s="15"/>
    </row>
    <row r="227" spans="1:8" ht="15" customHeight="1" x14ac:dyDescent="0.15">
      <c r="A227" s="57"/>
      <c r="B227" s="72" t="s">
        <v>8</v>
      </c>
      <c r="C227" s="14" t="s">
        <v>1726</v>
      </c>
      <c r="D227" s="219"/>
      <c r="E227" s="14" t="s">
        <v>1727</v>
      </c>
      <c r="F227" s="219" t="str">
        <f>IF(wskakunin_dairi2__address="", "", wskakunin_dairi2__address)</f>
        <v/>
      </c>
      <c r="H227" s="15"/>
    </row>
    <row r="228" spans="1:8" ht="15" customHeight="1" x14ac:dyDescent="0.15">
      <c r="A228" s="57"/>
      <c r="B228" s="72" t="s">
        <v>7</v>
      </c>
      <c r="C228" s="14" t="s">
        <v>1728</v>
      </c>
      <c r="D228" s="221"/>
      <c r="E228" s="14" t="s">
        <v>1729</v>
      </c>
      <c r="F228" s="219" t="str">
        <f>IF(wskakunin_dairi2_TEL="", "", wskakunin_dairi2_TEL)</f>
        <v/>
      </c>
      <c r="H228" s="15"/>
    </row>
    <row r="229" spans="1:8" ht="15" customHeight="1" x14ac:dyDescent="0.15">
      <c r="A229" s="57"/>
      <c r="B229" s="72" t="s">
        <v>760</v>
      </c>
      <c r="C229" s="14" t="s">
        <v>1730</v>
      </c>
      <c r="D229" s="221"/>
      <c r="E229" s="14" t="s">
        <v>1731</v>
      </c>
      <c r="F229" s="219" t="str">
        <f>IF(wskakunin_dairi2_FAX="", "", wskakunin_dairi2_FAX)</f>
        <v/>
      </c>
      <c r="H229" s="15"/>
    </row>
    <row r="230" spans="1:8" ht="15" customHeight="1" x14ac:dyDescent="0.15">
      <c r="A230" s="57"/>
      <c r="B230" s="109" t="s">
        <v>154</v>
      </c>
      <c r="D230" s="15"/>
      <c r="E230" s="14" t="s">
        <v>1732</v>
      </c>
      <c r="F230" s="219" t="str">
        <f>IF(wskakunin_dairi2_NAME&amp;wskakunin_dairi2_JIMU_NAME="","",IF(wskakunin_dairi2_JIMU_NAME="",wskakunin_dairi2_NAME,wskakunin_dairi2_JIMU_NAME&amp;"　"&amp;wskakunin_dairi2_NAME))</f>
        <v/>
      </c>
      <c r="H230" s="15"/>
    </row>
    <row r="231" spans="1:8" ht="15" customHeight="1" x14ac:dyDescent="0.15">
      <c r="A231" s="58"/>
      <c r="B231" s="110"/>
      <c r="D231" s="30"/>
      <c r="F231" s="15"/>
      <c r="H231" s="15"/>
    </row>
    <row r="232" spans="1:8" ht="15" customHeight="1" x14ac:dyDescent="0.15">
      <c r="A232" s="48" t="s">
        <v>1699</v>
      </c>
      <c r="B232" s="107"/>
      <c r="H232" s="15"/>
    </row>
    <row r="233" spans="1:8" ht="15" customHeight="1" x14ac:dyDescent="0.15">
      <c r="A233" s="108"/>
      <c r="B233" s="72" t="s">
        <v>606</v>
      </c>
      <c r="C233" s="14" t="s">
        <v>1733</v>
      </c>
      <c r="D233" s="219"/>
      <c r="E233" s="14" t="s">
        <v>1734</v>
      </c>
      <c r="F233" s="219" t="str">
        <f>IF(wskakunin_dairi3__sikaku="", "", wskakunin_dairi3__sikaku)</f>
        <v/>
      </c>
      <c r="H233" s="15"/>
    </row>
    <row r="234" spans="1:8" ht="15" customHeight="1" x14ac:dyDescent="0.15">
      <c r="A234" s="108"/>
      <c r="B234" s="72" t="s">
        <v>607</v>
      </c>
      <c r="C234" s="14" t="s">
        <v>1735</v>
      </c>
      <c r="D234" s="219"/>
      <c r="E234" s="14" t="s">
        <v>1736</v>
      </c>
      <c r="F234" s="219" t="str">
        <f>IF(wskakunin_dairi3_SIKAKU__label="","",wskakunin_dairi3_SIKAKU__label)</f>
        <v/>
      </c>
      <c r="H234" s="15"/>
    </row>
    <row r="235" spans="1:8" ht="15" customHeight="1" x14ac:dyDescent="0.15">
      <c r="A235" s="108"/>
      <c r="B235" s="72" t="s">
        <v>602</v>
      </c>
      <c r="C235" s="14" t="s">
        <v>1737</v>
      </c>
      <c r="D235" s="219"/>
      <c r="E235" s="14" t="s">
        <v>1738</v>
      </c>
      <c r="F235" s="219" t="str">
        <f>IF(wskakunin_dairi3_TOUROKU_KIKAN__label="","",wskakunin_dairi3_TOUROKU_KIKAN__label)</f>
        <v/>
      </c>
      <c r="H235" s="15"/>
    </row>
    <row r="236" spans="1:8" ht="15" customHeight="1" x14ac:dyDescent="0.15">
      <c r="A236" s="108"/>
      <c r="B236" s="72" t="s">
        <v>603</v>
      </c>
      <c r="C236" s="14" t="s">
        <v>1739</v>
      </c>
      <c r="D236" s="221"/>
      <c r="E236" s="14" t="s">
        <v>1740</v>
      </c>
      <c r="F236" s="219" t="str">
        <f>IF(wskakunin_dairi3_KENTIKUSI_NO="","",wskakunin_dairi3_KENTIKUSI_NO)</f>
        <v/>
      </c>
      <c r="H236" s="15"/>
    </row>
    <row r="237" spans="1:8" ht="15" customHeight="1" x14ac:dyDescent="0.15">
      <c r="A237" s="57"/>
      <c r="B237" s="72" t="s">
        <v>92</v>
      </c>
      <c r="C237" s="14" t="s">
        <v>1741</v>
      </c>
      <c r="D237" s="219"/>
      <c r="E237" s="14" t="s">
        <v>1742</v>
      </c>
      <c r="F237" s="219" t="str">
        <f>IF(wskakunin_dairi3_NAME="", "", wskakunin_dairi3_NAME)</f>
        <v/>
      </c>
      <c r="H237" s="15"/>
    </row>
    <row r="238" spans="1:8" ht="15" customHeight="1" x14ac:dyDescent="0.15">
      <c r="A238" s="57"/>
      <c r="B238" s="72" t="s">
        <v>96</v>
      </c>
      <c r="C238" s="14" t="s">
        <v>1743</v>
      </c>
      <c r="D238" s="219"/>
      <c r="E238" s="14" t="s">
        <v>1744</v>
      </c>
      <c r="F238" s="219" t="str">
        <f>IF(wskakunin_dairi3_NAME_KANA="", "", wskakunin_dairi3_NAME_KANA)</f>
        <v/>
      </c>
      <c r="H238" s="15"/>
    </row>
    <row r="239" spans="1:8" ht="15" customHeight="1" x14ac:dyDescent="0.15">
      <c r="A239" s="57"/>
      <c r="B239" s="72" t="s">
        <v>608</v>
      </c>
      <c r="C239" s="14" t="s">
        <v>1745</v>
      </c>
      <c r="D239" s="219"/>
      <c r="E239" s="14" t="s">
        <v>1746</v>
      </c>
      <c r="F239" s="219" t="str">
        <f>IF(wskakunin_dairi3_JIMU__sikaku="", "", wskakunin_dairi3_JIMU__sikaku)</f>
        <v/>
      </c>
      <c r="H239" s="15"/>
    </row>
    <row r="240" spans="1:8" ht="15" customHeight="1" x14ac:dyDescent="0.15">
      <c r="A240" s="57"/>
      <c r="B240" s="72" t="s">
        <v>93</v>
      </c>
      <c r="C240" s="14" t="s">
        <v>1747</v>
      </c>
      <c r="D240" s="219"/>
      <c r="E240" s="14" t="s">
        <v>1748</v>
      </c>
      <c r="F240" s="219" t="str">
        <f>IF(wskakunin_dairi3_JIMU_SIKAKU__label="","",wskakunin_dairi3_JIMU_SIKAKU__label)</f>
        <v/>
      </c>
      <c r="H240" s="15"/>
    </row>
    <row r="241" spans="1:8" ht="15" customHeight="1" x14ac:dyDescent="0.15">
      <c r="A241" s="57"/>
      <c r="B241" s="72" t="s">
        <v>609</v>
      </c>
      <c r="C241" s="14" t="s">
        <v>1749</v>
      </c>
      <c r="D241" s="219"/>
      <c r="E241" s="14" t="s">
        <v>1750</v>
      </c>
      <c r="F241" s="219" t="str">
        <f>IF(wskakunin_dairi3_JIMU_TOUROKU_KIKAN__label="","",wskakunin_dairi3_JIMU_TOUROKU_KIKAN__label)</f>
        <v/>
      </c>
      <c r="H241" s="15"/>
    </row>
    <row r="242" spans="1:8" ht="15" customHeight="1" x14ac:dyDescent="0.15">
      <c r="A242" s="57"/>
      <c r="B242" s="72" t="s">
        <v>610</v>
      </c>
      <c r="C242" s="14" t="s">
        <v>1751</v>
      </c>
      <c r="D242" s="221"/>
      <c r="E242" s="14" t="s">
        <v>1752</v>
      </c>
      <c r="F242" s="219" t="str">
        <f>IF(wskakunin_dairi3_JIMU_NO="","",wskakunin_dairi3_JIMU_NO)</f>
        <v/>
      </c>
      <c r="H242" s="15"/>
    </row>
    <row r="243" spans="1:8" ht="15" customHeight="1" x14ac:dyDescent="0.15">
      <c r="A243" s="57"/>
      <c r="B243" s="72" t="s">
        <v>94</v>
      </c>
      <c r="C243" s="14" t="s">
        <v>1753</v>
      </c>
      <c r="D243" s="219"/>
      <c r="E243" s="14" t="s">
        <v>1754</v>
      </c>
      <c r="F243" s="219" t="str">
        <f>IF(wskakunin_dairi3_JIMU_NAME="", "",wskakunin_dairi3_JIMU_NAME)</f>
        <v/>
      </c>
      <c r="H243" s="15"/>
    </row>
    <row r="244" spans="1:8" ht="15" customHeight="1" x14ac:dyDescent="0.15">
      <c r="A244" s="57"/>
      <c r="B244" s="72" t="s">
        <v>5</v>
      </c>
      <c r="C244" s="14" t="s">
        <v>1755</v>
      </c>
      <c r="D244" s="221"/>
      <c r="E244" s="14" t="s">
        <v>1756</v>
      </c>
      <c r="F244" s="219" t="str">
        <f>IF(wskakunin_dairi3_ZIP="", "", wskakunin_dairi3_ZIP)</f>
        <v/>
      </c>
      <c r="H244" s="15"/>
    </row>
    <row r="245" spans="1:8" ht="15" customHeight="1" x14ac:dyDescent="0.15">
      <c r="A245" s="57"/>
      <c r="B245" s="72" t="s">
        <v>8</v>
      </c>
      <c r="C245" s="14" t="s">
        <v>1757</v>
      </c>
      <c r="D245" s="219"/>
      <c r="E245" s="14" t="s">
        <v>1758</v>
      </c>
      <c r="F245" s="219" t="str">
        <f>IF(wskakunin_dairi3__address="", "", wskakunin_dairi3__address)</f>
        <v/>
      </c>
      <c r="H245" s="15"/>
    </row>
    <row r="246" spans="1:8" ht="15" customHeight="1" x14ac:dyDescent="0.15">
      <c r="A246" s="57"/>
      <c r="B246" s="72" t="s">
        <v>7</v>
      </c>
      <c r="C246" s="14" t="s">
        <v>1759</v>
      </c>
      <c r="D246" s="221"/>
      <c r="E246" s="14" t="s">
        <v>1760</v>
      </c>
      <c r="F246" s="219" t="str">
        <f>IF(wskakunin_dairi3_TEL="", "", wskakunin_dairi3_TEL)</f>
        <v/>
      </c>
      <c r="H246" s="15"/>
    </row>
    <row r="247" spans="1:8" ht="15" customHeight="1" x14ac:dyDescent="0.15">
      <c r="A247" s="57"/>
      <c r="B247" s="72" t="s">
        <v>760</v>
      </c>
      <c r="C247" s="14" t="s">
        <v>1761</v>
      </c>
      <c r="D247" s="221"/>
      <c r="E247" s="14" t="s">
        <v>1762</v>
      </c>
      <c r="F247" s="219" t="str">
        <f>IF(wskakunin_dairi3_FAX="", "", wskakunin_dairi3_FAX)</f>
        <v/>
      </c>
      <c r="H247" s="15"/>
    </row>
    <row r="248" spans="1:8" ht="15" customHeight="1" x14ac:dyDescent="0.15">
      <c r="A248" s="57"/>
      <c r="B248" s="109" t="s">
        <v>154</v>
      </c>
      <c r="D248" s="15"/>
      <c r="E248" s="14" t="s">
        <v>1763</v>
      </c>
      <c r="F248" s="219" t="str">
        <f>IF(wskakunin_dairi3_NAME&amp;wskakunin_dairi3_JIMU_NAME="","",IF(wskakunin_dairi3_JIMU_NAME="",wskakunin_dairi3_NAME,wskakunin_dairi3_JIMU_NAME&amp;"　"&amp;wskakunin_dairi3_NAME))</f>
        <v/>
      </c>
      <c r="H248" s="15"/>
    </row>
    <row r="249" spans="1:8" ht="15" customHeight="1" x14ac:dyDescent="0.15">
      <c r="A249" s="58"/>
      <c r="B249" s="110"/>
      <c r="D249" s="30"/>
      <c r="F249" s="15"/>
      <c r="H249" s="15"/>
    </row>
    <row r="250" spans="1:8" ht="15" customHeight="1" x14ac:dyDescent="0.15">
      <c r="A250" s="48" t="s">
        <v>1700</v>
      </c>
      <c r="B250" s="107"/>
      <c r="H250" s="15"/>
    </row>
    <row r="251" spans="1:8" ht="15" customHeight="1" x14ac:dyDescent="0.15">
      <c r="A251" s="108"/>
      <c r="B251" s="72" t="s">
        <v>606</v>
      </c>
      <c r="C251" s="14" t="s">
        <v>1764</v>
      </c>
      <c r="D251" s="219"/>
      <c r="E251" s="14" t="s">
        <v>1765</v>
      </c>
      <c r="F251" s="219" t="str">
        <f>IF(wskakunin_dairi4__sikaku="", "", wskakunin_dairi4__sikaku)</f>
        <v/>
      </c>
      <c r="H251" s="15"/>
    </row>
    <row r="252" spans="1:8" ht="15" customHeight="1" x14ac:dyDescent="0.15">
      <c r="A252" s="108"/>
      <c r="B252" s="72" t="s">
        <v>607</v>
      </c>
      <c r="C252" s="14" t="s">
        <v>1766</v>
      </c>
      <c r="D252" s="219"/>
      <c r="E252" s="14" t="s">
        <v>1767</v>
      </c>
      <c r="F252" s="219" t="str">
        <f>IF(wskakunin_dairi4_SIKAKU__label="","",wskakunin_dairi4_SIKAKU__label)</f>
        <v/>
      </c>
      <c r="H252" s="15"/>
    </row>
    <row r="253" spans="1:8" ht="15" customHeight="1" x14ac:dyDescent="0.15">
      <c r="A253" s="108"/>
      <c r="B253" s="72" t="s">
        <v>602</v>
      </c>
      <c r="C253" s="14" t="s">
        <v>1768</v>
      </c>
      <c r="D253" s="219"/>
      <c r="E253" s="14" t="s">
        <v>1769</v>
      </c>
      <c r="F253" s="219" t="str">
        <f>IF(wskakunin_dairi4_TOUROKU_KIKAN__label="","",wskakunin_dairi4_TOUROKU_KIKAN__label)</f>
        <v/>
      </c>
      <c r="H253" s="15"/>
    </row>
    <row r="254" spans="1:8" ht="15" customHeight="1" x14ac:dyDescent="0.15">
      <c r="A254" s="108"/>
      <c r="B254" s="72" t="s">
        <v>603</v>
      </c>
      <c r="C254" s="14" t="s">
        <v>1770</v>
      </c>
      <c r="D254" s="221"/>
      <c r="E254" s="14" t="s">
        <v>1771</v>
      </c>
      <c r="F254" s="219" t="str">
        <f>IF(wskakunin_dairi4_KENTIKUSI_NO="","",wskakunin_dairi4_KENTIKUSI_NO)</f>
        <v/>
      </c>
      <c r="H254" s="15"/>
    </row>
    <row r="255" spans="1:8" ht="15" customHeight="1" x14ac:dyDescent="0.15">
      <c r="A255" s="57"/>
      <c r="B255" s="72" t="s">
        <v>92</v>
      </c>
      <c r="C255" s="14" t="s">
        <v>1772</v>
      </c>
      <c r="D255" s="219"/>
      <c r="E255" s="14" t="s">
        <v>1773</v>
      </c>
      <c r="F255" s="219" t="str">
        <f>IF(wskakunin_dairi4_NAME="", "", wskakunin_dairi4_NAME)</f>
        <v/>
      </c>
      <c r="H255" s="15"/>
    </row>
    <row r="256" spans="1:8" ht="15" customHeight="1" x14ac:dyDescent="0.15">
      <c r="A256" s="57"/>
      <c r="B256" s="72" t="s">
        <v>96</v>
      </c>
      <c r="C256" s="14" t="s">
        <v>1774</v>
      </c>
      <c r="D256" s="219"/>
      <c r="E256" s="14" t="s">
        <v>1775</v>
      </c>
      <c r="F256" s="219" t="str">
        <f>IF(wskakunin_dairi4_NAME_KANA="", "", wskakunin_dairi4_NAME_KANA)</f>
        <v/>
      </c>
      <c r="H256" s="15"/>
    </row>
    <row r="257" spans="1:8" ht="15" customHeight="1" x14ac:dyDescent="0.15">
      <c r="A257" s="57"/>
      <c r="B257" s="72" t="s">
        <v>608</v>
      </c>
      <c r="C257" s="14" t="s">
        <v>1776</v>
      </c>
      <c r="D257" s="219"/>
      <c r="E257" s="14" t="s">
        <v>1777</v>
      </c>
      <c r="F257" s="219" t="str">
        <f>IF(wskakunin_dairi4_JIMU__sikaku="", "", wskakunin_dairi4_JIMU__sikaku)</f>
        <v/>
      </c>
      <c r="H257" s="15"/>
    </row>
    <row r="258" spans="1:8" ht="15" customHeight="1" x14ac:dyDescent="0.15">
      <c r="A258" s="57"/>
      <c r="B258" s="72" t="s">
        <v>93</v>
      </c>
      <c r="C258" s="14" t="s">
        <v>1778</v>
      </c>
      <c r="D258" s="219"/>
      <c r="E258" s="14" t="s">
        <v>1779</v>
      </c>
      <c r="F258" s="219" t="str">
        <f>IF(wskakunin_dairi4_JIMU_SIKAKU__label="","",wskakunin_dairi4_JIMU_SIKAKU__label)</f>
        <v/>
      </c>
      <c r="H258" s="15"/>
    </row>
    <row r="259" spans="1:8" ht="15" customHeight="1" x14ac:dyDescent="0.15">
      <c r="A259" s="57"/>
      <c r="B259" s="72" t="s">
        <v>609</v>
      </c>
      <c r="C259" s="14" t="s">
        <v>1780</v>
      </c>
      <c r="D259" s="219"/>
      <c r="E259" s="14" t="s">
        <v>1781</v>
      </c>
      <c r="F259" s="219" t="str">
        <f>IF(wskakunin_dairi4_JIMU_TOUROKU_KIKAN__label="","",wskakunin_dairi4_JIMU_TOUROKU_KIKAN__label)</f>
        <v/>
      </c>
      <c r="H259" s="15"/>
    </row>
    <row r="260" spans="1:8" ht="15" customHeight="1" x14ac:dyDescent="0.15">
      <c r="A260" s="57"/>
      <c r="B260" s="72" t="s">
        <v>610</v>
      </c>
      <c r="C260" s="14" t="s">
        <v>1782</v>
      </c>
      <c r="D260" s="221"/>
      <c r="E260" s="14" t="s">
        <v>1783</v>
      </c>
      <c r="F260" s="219" t="str">
        <f>IF(wskakunin_dairi4_JIMU_NO="","",wskakunin_dairi4_JIMU_NO)</f>
        <v/>
      </c>
      <c r="H260" s="15"/>
    </row>
    <row r="261" spans="1:8" ht="15" customHeight="1" x14ac:dyDescent="0.15">
      <c r="A261" s="57"/>
      <c r="B261" s="72" t="s">
        <v>94</v>
      </c>
      <c r="C261" s="14" t="s">
        <v>1784</v>
      </c>
      <c r="D261" s="219"/>
      <c r="E261" s="14" t="s">
        <v>1785</v>
      </c>
      <c r="F261" s="219" t="str">
        <f>IF(wskakunin_dairi4_JIMU_NAME="", "",wskakunin_dairi4_JIMU_NAME)</f>
        <v/>
      </c>
      <c r="H261" s="15"/>
    </row>
    <row r="262" spans="1:8" ht="15" customHeight="1" x14ac:dyDescent="0.15">
      <c r="A262" s="57"/>
      <c r="B262" s="72" t="s">
        <v>5</v>
      </c>
      <c r="C262" s="14" t="s">
        <v>1786</v>
      </c>
      <c r="D262" s="221"/>
      <c r="E262" s="14" t="s">
        <v>1787</v>
      </c>
      <c r="F262" s="219" t="str">
        <f>IF(wskakunin_dairi4_ZIP="", "", wskakunin_dairi4_ZIP)</f>
        <v/>
      </c>
      <c r="H262" s="15"/>
    </row>
    <row r="263" spans="1:8" ht="15" customHeight="1" x14ac:dyDescent="0.15">
      <c r="A263" s="57"/>
      <c r="B263" s="72" t="s">
        <v>8</v>
      </c>
      <c r="C263" s="14" t="s">
        <v>1788</v>
      </c>
      <c r="D263" s="219"/>
      <c r="E263" s="14" t="s">
        <v>1789</v>
      </c>
      <c r="F263" s="219" t="str">
        <f>IF(wskakunin_dairi4__address="", "", wskakunin_dairi4__address)</f>
        <v/>
      </c>
      <c r="H263" s="15"/>
    </row>
    <row r="264" spans="1:8" ht="15" customHeight="1" x14ac:dyDescent="0.15">
      <c r="A264" s="57"/>
      <c r="B264" s="72" t="s">
        <v>7</v>
      </c>
      <c r="C264" s="14" t="s">
        <v>1790</v>
      </c>
      <c r="D264" s="221"/>
      <c r="E264" s="14" t="s">
        <v>1791</v>
      </c>
      <c r="F264" s="219" t="str">
        <f>IF(wskakunin_dairi4_TEL="", "", wskakunin_dairi4_TEL)</f>
        <v/>
      </c>
      <c r="H264" s="15"/>
    </row>
    <row r="265" spans="1:8" ht="15" customHeight="1" x14ac:dyDescent="0.15">
      <c r="A265" s="57"/>
      <c r="B265" s="72" t="s">
        <v>760</v>
      </c>
      <c r="C265" s="14" t="s">
        <v>1792</v>
      </c>
      <c r="D265" s="221"/>
      <c r="E265" s="14" t="s">
        <v>1793</v>
      </c>
      <c r="F265" s="219" t="str">
        <f>IF(wskakunin_dairi4_FAX="", "", wskakunin_dairi4_FAX)</f>
        <v/>
      </c>
      <c r="H265" s="15"/>
    </row>
    <row r="266" spans="1:8" ht="15" customHeight="1" x14ac:dyDescent="0.15">
      <c r="A266" s="57"/>
      <c r="B266" s="109" t="s">
        <v>154</v>
      </c>
      <c r="D266" s="15"/>
      <c r="E266" s="14" t="s">
        <v>1794</v>
      </c>
      <c r="F266" s="219" t="str">
        <f>IF(wskakunin_dairi4_NAME&amp;wskakunin_dairi4_JIMU_NAME="","",IF(wskakunin_dairi4_JIMU_NAME="",wskakunin_dairi4_NAME,wskakunin_dairi4_JIMU_NAME&amp;"　"&amp;wskakunin_dairi4_NAME))</f>
        <v/>
      </c>
      <c r="H266" s="15"/>
    </row>
    <row r="267" spans="1:8" ht="15" customHeight="1" x14ac:dyDescent="0.15">
      <c r="A267" s="58"/>
      <c r="B267" s="110"/>
      <c r="D267" s="30"/>
      <c r="F267" s="15"/>
      <c r="H267" s="15"/>
    </row>
    <row r="268" spans="1:8" ht="15" customHeight="1" x14ac:dyDescent="0.15">
      <c r="A268" s="48" t="s">
        <v>1701</v>
      </c>
      <c r="B268" s="107"/>
      <c r="H268" s="15"/>
    </row>
    <row r="269" spans="1:8" ht="15" customHeight="1" x14ac:dyDescent="0.15">
      <c r="A269" s="108"/>
      <c r="B269" s="72" t="s">
        <v>606</v>
      </c>
      <c r="C269" s="14" t="s">
        <v>1795</v>
      </c>
      <c r="D269" s="219"/>
      <c r="E269" s="14" t="s">
        <v>1796</v>
      </c>
      <c r="F269" s="219" t="str">
        <f>IF(wskakunin_dairi5__sikaku="", "", wskakunin_dairi5__sikaku)</f>
        <v/>
      </c>
      <c r="H269" s="15"/>
    </row>
    <row r="270" spans="1:8" ht="15" customHeight="1" x14ac:dyDescent="0.15">
      <c r="A270" s="108"/>
      <c r="B270" s="72" t="s">
        <v>607</v>
      </c>
      <c r="C270" s="14" t="s">
        <v>1797</v>
      </c>
      <c r="D270" s="219"/>
      <c r="E270" s="14" t="s">
        <v>1798</v>
      </c>
      <c r="F270" s="219" t="str">
        <f>IF(wskakunin_dairi5_SIKAKU__label="","",wskakunin_dairi5_SIKAKU__label)</f>
        <v/>
      </c>
      <c r="H270" s="15"/>
    </row>
    <row r="271" spans="1:8" ht="15" customHeight="1" x14ac:dyDescent="0.15">
      <c r="A271" s="108"/>
      <c r="B271" s="72" t="s">
        <v>602</v>
      </c>
      <c r="C271" s="14" t="s">
        <v>1799</v>
      </c>
      <c r="D271" s="219"/>
      <c r="E271" s="14" t="s">
        <v>1800</v>
      </c>
      <c r="F271" s="219" t="str">
        <f>IF(wskakunin_dairi5_TOUROKU_KIKAN__label="","",wskakunin_dairi5_TOUROKU_KIKAN__label)</f>
        <v/>
      </c>
      <c r="H271" s="15"/>
    </row>
    <row r="272" spans="1:8" ht="15" customHeight="1" x14ac:dyDescent="0.15">
      <c r="A272" s="108"/>
      <c r="B272" s="72" t="s">
        <v>603</v>
      </c>
      <c r="C272" s="14" t="s">
        <v>1801</v>
      </c>
      <c r="D272" s="221"/>
      <c r="E272" s="14" t="s">
        <v>1802</v>
      </c>
      <c r="F272" s="219" t="str">
        <f>IF(wskakunin_dairi5_KENTIKUSI_NO="","",wskakunin_dairi5_KENTIKUSI_NO)</f>
        <v/>
      </c>
      <c r="H272" s="15"/>
    </row>
    <row r="273" spans="1:8" ht="15" customHeight="1" x14ac:dyDescent="0.15">
      <c r="A273" s="57"/>
      <c r="B273" s="72" t="s">
        <v>92</v>
      </c>
      <c r="C273" s="14" t="s">
        <v>1803</v>
      </c>
      <c r="D273" s="219"/>
      <c r="E273" s="14" t="s">
        <v>1804</v>
      </c>
      <c r="F273" s="219" t="str">
        <f>IF(wskakunin_dairi5_NAME="", "", wskakunin_dairi5_NAME)</f>
        <v/>
      </c>
      <c r="H273" s="15"/>
    </row>
    <row r="274" spans="1:8" ht="15" customHeight="1" x14ac:dyDescent="0.15">
      <c r="A274" s="57"/>
      <c r="B274" s="72" t="s">
        <v>96</v>
      </c>
      <c r="C274" s="14" t="s">
        <v>1805</v>
      </c>
      <c r="D274" s="219"/>
      <c r="E274" s="14" t="s">
        <v>1806</v>
      </c>
      <c r="F274" s="219" t="str">
        <f>IF(wskakunin_dairi5_NAME_KANA="", "", wskakunin_dairi5_NAME_KANA)</f>
        <v/>
      </c>
      <c r="H274" s="15"/>
    </row>
    <row r="275" spans="1:8" ht="15" customHeight="1" x14ac:dyDescent="0.15">
      <c r="A275" s="57"/>
      <c r="B275" s="72" t="s">
        <v>608</v>
      </c>
      <c r="C275" s="14" t="s">
        <v>1807</v>
      </c>
      <c r="D275" s="219"/>
      <c r="E275" s="14" t="s">
        <v>1808</v>
      </c>
      <c r="F275" s="219" t="str">
        <f>IF(wskakunin_dairi5_JIMU__sikaku="", "", wskakunin_dairi5_JIMU__sikaku)</f>
        <v/>
      </c>
      <c r="H275" s="15"/>
    </row>
    <row r="276" spans="1:8" ht="15" customHeight="1" x14ac:dyDescent="0.15">
      <c r="A276" s="57"/>
      <c r="B276" s="72" t="s">
        <v>93</v>
      </c>
      <c r="C276" s="14" t="s">
        <v>1809</v>
      </c>
      <c r="D276" s="219"/>
      <c r="E276" s="14" t="s">
        <v>1810</v>
      </c>
      <c r="F276" s="219" t="str">
        <f>IF(wskakunin_dairi5_JIMU_SIKAKU__label="","",wskakunin_dairi5_JIMU_SIKAKU__label)</f>
        <v/>
      </c>
      <c r="H276" s="15"/>
    </row>
    <row r="277" spans="1:8" ht="15" customHeight="1" x14ac:dyDescent="0.15">
      <c r="A277" s="57"/>
      <c r="B277" s="72" t="s">
        <v>609</v>
      </c>
      <c r="C277" s="14" t="s">
        <v>1811</v>
      </c>
      <c r="D277" s="219"/>
      <c r="E277" s="14" t="s">
        <v>1812</v>
      </c>
      <c r="F277" s="219" t="str">
        <f>IF(wskakunin_dairi5_JIMU_TOUROKU_KIKAN__label="","",wskakunin_dairi5_JIMU_TOUROKU_KIKAN__label)</f>
        <v/>
      </c>
      <c r="H277" s="15"/>
    </row>
    <row r="278" spans="1:8" ht="15" customHeight="1" x14ac:dyDescent="0.15">
      <c r="A278" s="57"/>
      <c r="B278" s="72" t="s">
        <v>610</v>
      </c>
      <c r="C278" s="14" t="s">
        <v>1813</v>
      </c>
      <c r="D278" s="221"/>
      <c r="E278" s="14" t="s">
        <v>1814</v>
      </c>
      <c r="F278" s="219" t="str">
        <f>IF(wskakunin_dairi5_JIMU_NO="","",wskakunin_dairi5_JIMU_NO)</f>
        <v/>
      </c>
      <c r="H278" s="15"/>
    </row>
    <row r="279" spans="1:8" ht="15" customHeight="1" x14ac:dyDescent="0.15">
      <c r="A279" s="57"/>
      <c r="B279" s="72" t="s">
        <v>94</v>
      </c>
      <c r="C279" s="14" t="s">
        <v>1815</v>
      </c>
      <c r="D279" s="219"/>
      <c r="E279" s="14" t="s">
        <v>1816</v>
      </c>
      <c r="F279" s="219" t="str">
        <f>IF(wskakunin_dairi5_JIMU_NAME="", "",wskakunin_dairi5_JIMU_NAME)</f>
        <v/>
      </c>
      <c r="H279" s="15"/>
    </row>
    <row r="280" spans="1:8" ht="15" customHeight="1" x14ac:dyDescent="0.15">
      <c r="A280" s="57"/>
      <c r="B280" s="72" t="s">
        <v>5</v>
      </c>
      <c r="C280" s="14" t="s">
        <v>1817</v>
      </c>
      <c r="D280" s="221"/>
      <c r="E280" s="14" t="s">
        <v>1818</v>
      </c>
      <c r="F280" s="219" t="str">
        <f>IF(wskakunin_dairi5_ZIP="", "", wskakunin_dairi5_ZIP)</f>
        <v/>
      </c>
      <c r="H280" s="15"/>
    </row>
    <row r="281" spans="1:8" ht="15" customHeight="1" x14ac:dyDescent="0.15">
      <c r="A281" s="57"/>
      <c r="B281" s="72" t="s">
        <v>8</v>
      </c>
      <c r="C281" s="14" t="s">
        <v>1819</v>
      </c>
      <c r="D281" s="219"/>
      <c r="E281" s="14" t="s">
        <v>1820</v>
      </c>
      <c r="F281" s="219" t="str">
        <f>IF(wskakunin_dairi5__address="", "", wskakunin_dairi5__address)</f>
        <v/>
      </c>
      <c r="H281" s="15"/>
    </row>
    <row r="282" spans="1:8" ht="15" customHeight="1" x14ac:dyDescent="0.15">
      <c r="A282" s="57"/>
      <c r="B282" s="72" t="s">
        <v>7</v>
      </c>
      <c r="C282" s="14" t="s">
        <v>1821</v>
      </c>
      <c r="D282" s="221"/>
      <c r="E282" s="14" t="s">
        <v>1822</v>
      </c>
      <c r="F282" s="219" t="str">
        <f>IF(wskakunin_dairi5_TEL="", "", wskakunin_dairi5_TEL)</f>
        <v/>
      </c>
      <c r="H282" s="15"/>
    </row>
    <row r="283" spans="1:8" ht="15" customHeight="1" x14ac:dyDescent="0.15">
      <c r="A283" s="57"/>
      <c r="B283" s="72" t="s">
        <v>760</v>
      </c>
      <c r="C283" s="14" t="s">
        <v>1823</v>
      </c>
      <c r="D283" s="221"/>
      <c r="E283" s="14" t="s">
        <v>1824</v>
      </c>
      <c r="F283" s="219" t="str">
        <f>IF(wskakunin_dairi5_FAX="", "", wskakunin_dairi5_FAX)</f>
        <v/>
      </c>
      <c r="H283" s="15"/>
    </row>
    <row r="284" spans="1:8" ht="15" customHeight="1" x14ac:dyDescent="0.15">
      <c r="A284" s="57"/>
      <c r="B284" s="109" t="s">
        <v>154</v>
      </c>
      <c r="C284" s="15"/>
      <c r="D284" s="15"/>
      <c r="E284" s="14" t="s">
        <v>1825</v>
      </c>
      <c r="F284" s="219" t="str">
        <f>IF(wskakunin_dairi5_NAME&amp;wskakunin_dairi5_JIMU_NAME="","",IF(wskakunin_dairi5_JIMU_NAME="",wskakunin_dairi5_NAME,wskakunin_dairi5_JIMU_NAME&amp;"　"&amp;wskakunin_dairi5_NAME))</f>
        <v/>
      </c>
      <c r="H284" s="15"/>
    </row>
    <row r="285" spans="1:8" ht="15" customHeight="1" x14ac:dyDescent="0.15">
      <c r="A285" s="58"/>
      <c r="B285" s="110"/>
      <c r="D285" s="30"/>
      <c r="F285" s="15"/>
      <c r="G285" s="15"/>
      <c r="H285" s="15"/>
    </row>
    <row r="286" spans="1:8" ht="15" customHeight="1" x14ac:dyDescent="0.15">
      <c r="A286" s="1" t="s">
        <v>729</v>
      </c>
      <c r="B286" s="45"/>
      <c r="G286" s="15"/>
      <c r="H286" s="15"/>
    </row>
    <row r="287" spans="1:8" ht="15" customHeight="1" x14ac:dyDescent="0.15">
      <c r="A287" s="23"/>
      <c r="B287" s="73" t="s">
        <v>606</v>
      </c>
      <c r="C287" s="14" t="s">
        <v>134</v>
      </c>
      <c r="D287" s="141" t="s">
        <v>3458</v>
      </c>
      <c r="E287" s="14" t="s">
        <v>723</v>
      </c>
      <c r="F287" s="141" t="str">
        <f>IF(wskakunin_sekkei1__sikaku="", "", wskakunin_sekkei1__sikaku)</f>
        <v>一級建築士国土交通大臣登録第339014号</v>
      </c>
      <c r="G287" s="15"/>
      <c r="H287" s="15"/>
    </row>
    <row r="288" spans="1:8" ht="15" customHeight="1" x14ac:dyDescent="0.15">
      <c r="A288" s="28"/>
      <c r="B288" s="73" t="s">
        <v>607</v>
      </c>
      <c r="C288" s="14" t="s">
        <v>721</v>
      </c>
      <c r="D288" s="141" t="s">
        <v>176</v>
      </c>
      <c r="E288" s="14" t="s">
        <v>724</v>
      </c>
      <c r="F288" s="141" t="str">
        <f>IF(wskakunin_sekkei1_SIKAKU__label="","",wskakunin_sekkei1_SIKAKU__label)</f>
        <v>一級</v>
      </c>
      <c r="G288" s="15"/>
      <c r="H288" s="15"/>
    </row>
    <row r="289" spans="1:8" ht="15" customHeight="1" x14ac:dyDescent="0.15">
      <c r="A289" s="28"/>
      <c r="B289" s="73" t="s">
        <v>602</v>
      </c>
      <c r="C289" s="14" t="s">
        <v>1454</v>
      </c>
      <c r="D289" s="141" t="s">
        <v>3453</v>
      </c>
      <c r="E289" s="14" t="s">
        <v>725</v>
      </c>
      <c r="F289" s="141" t="str">
        <f>IF(wskakunin_sekkei1_TOUROKU_KIKAN__label="","",wskakunin_sekkei1_TOUROKU_KIKAN__label)</f>
        <v>国土交通大臣</v>
      </c>
      <c r="G289" s="15"/>
      <c r="H289" s="15"/>
    </row>
    <row r="290" spans="1:8" ht="15" customHeight="1" x14ac:dyDescent="0.15">
      <c r="A290" s="28"/>
      <c r="B290" s="73" t="s">
        <v>603</v>
      </c>
      <c r="C290" s="14" t="s">
        <v>722</v>
      </c>
      <c r="D290" s="213" t="s">
        <v>3461</v>
      </c>
      <c r="E290" s="14" t="s">
        <v>726</v>
      </c>
      <c r="F290" s="141" t="str">
        <f>IF(wskakunin_sekkei1_KENTIKUSI_NO="","",wskakunin_sekkei1_KENTIKUSI_NO)</f>
        <v>339014</v>
      </c>
      <c r="G290" s="15"/>
      <c r="H290" s="15"/>
    </row>
    <row r="291" spans="1:8" ht="15" customHeight="1" x14ac:dyDescent="0.15">
      <c r="A291" s="40"/>
      <c r="B291" s="73" t="s">
        <v>92</v>
      </c>
      <c r="C291" s="14" t="s">
        <v>135</v>
      </c>
      <c r="D291" s="141" t="s">
        <v>3462</v>
      </c>
      <c r="E291" s="14" t="s">
        <v>163</v>
      </c>
      <c r="F291" s="141" t="str">
        <f>IF(wskakunin_sekkei1_NAME="", "", wskakunin_sekkei1_NAME)</f>
        <v>白形　真</v>
      </c>
      <c r="G291" s="15"/>
      <c r="H291" s="15"/>
    </row>
    <row r="292" spans="1:8" ht="15" customHeight="1" x14ac:dyDescent="0.15">
      <c r="A292" s="40"/>
      <c r="B292" s="73" t="s">
        <v>608</v>
      </c>
      <c r="C292" s="14" t="s">
        <v>716</v>
      </c>
      <c r="D292" s="141" t="s">
        <v>3459</v>
      </c>
      <c r="E292" s="14" t="s">
        <v>164</v>
      </c>
      <c r="F292" s="141" t="str">
        <f>IF(wskakunin_sekkei1_JIMU__sikaku="", "", wskakunin_sekkei1_JIMU__sikaku)</f>
        <v>一級建築士事務所愛媛県知事登録第3002号</v>
      </c>
      <c r="G292" s="15"/>
      <c r="H292" s="15"/>
    </row>
    <row r="293" spans="1:8" ht="15" customHeight="1" x14ac:dyDescent="0.15">
      <c r="A293" s="40"/>
      <c r="B293" s="73" t="s">
        <v>93</v>
      </c>
      <c r="C293" s="14" t="s">
        <v>717</v>
      </c>
      <c r="D293" s="141" t="s">
        <v>176</v>
      </c>
      <c r="E293" s="14" t="s">
        <v>1542</v>
      </c>
      <c r="F293" s="141" t="str">
        <f>IF(wskakunin_sekkei1_JIMU_SIKAKU__label="","",wskakunin_sekkei1_JIMU_SIKAKU__label)</f>
        <v>一級</v>
      </c>
      <c r="G293" s="15"/>
      <c r="H293" s="15"/>
    </row>
    <row r="294" spans="1:8" ht="15" customHeight="1" x14ac:dyDescent="0.15">
      <c r="A294" s="40"/>
      <c r="B294" s="73" t="s">
        <v>609</v>
      </c>
      <c r="C294" s="14" t="s">
        <v>1455</v>
      </c>
      <c r="D294" s="141" t="s">
        <v>3460</v>
      </c>
      <c r="E294" s="14" t="s">
        <v>719</v>
      </c>
      <c r="F294" s="141" t="str">
        <f>IF(wskakunin_sekkei1_JIMU_TOUROKU_KIKAN__label="","",wskakunin_sekkei1_JIMU_TOUROKU_KIKAN__label)</f>
        <v>愛媛県</v>
      </c>
      <c r="G294" s="15"/>
      <c r="H294" s="15"/>
    </row>
    <row r="295" spans="1:8" ht="15" customHeight="1" x14ac:dyDescent="0.15">
      <c r="A295" s="40"/>
      <c r="B295" s="73" t="s">
        <v>610</v>
      </c>
      <c r="C295" s="14" t="s">
        <v>718</v>
      </c>
      <c r="D295" s="213" t="s">
        <v>3476</v>
      </c>
      <c r="E295" s="14" t="s">
        <v>720</v>
      </c>
      <c r="F295" s="141" t="str">
        <f>IF(wskakunin_sekkei1_JIMU_NO="","",wskakunin_sekkei1_JIMU_NO)</f>
        <v>3002</v>
      </c>
      <c r="G295" s="15"/>
      <c r="H295" s="15"/>
    </row>
    <row r="296" spans="1:8" ht="15" customHeight="1" x14ac:dyDescent="0.15">
      <c r="A296" s="56"/>
      <c r="B296" s="73" t="s">
        <v>94</v>
      </c>
      <c r="C296" s="14" t="s">
        <v>136</v>
      </c>
      <c r="D296" s="141" t="s">
        <v>3448</v>
      </c>
      <c r="E296" s="14" t="s">
        <v>165</v>
      </c>
      <c r="F296" s="141" t="str">
        <f>IF(wskakunin_sekkei1_JIMU_NAME="", "", wskakunin_sekkei1_JIMU_NAME)</f>
        <v>株式会社コラボハウス一級建築士事務所</v>
      </c>
      <c r="G296" s="15"/>
      <c r="H296" s="15"/>
    </row>
    <row r="297" spans="1:8" ht="15" customHeight="1" x14ac:dyDescent="0.15">
      <c r="A297" s="40"/>
      <c r="B297" s="73" t="s">
        <v>709</v>
      </c>
      <c r="D297" s="30"/>
      <c r="E297" s="14" t="s">
        <v>710</v>
      </c>
      <c r="F297" s="141" t="str">
        <f>wskakunin_sekkei1_JIMU_NAME&amp;" "&amp;wskakunin_sekkei1_NAME</f>
        <v>株式会社コラボハウス一級建築士事務所 白形　真</v>
      </c>
      <c r="G297" s="15"/>
      <c r="H297" s="15"/>
    </row>
    <row r="298" spans="1:8" ht="15" customHeight="1" x14ac:dyDescent="0.15">
      <c r="A298" s="56"/>
      <c r="B298" s="73" t="s">
        <v>5</v>
      </c>
      <c r="C298" s="14" t="s">
        <v>137</v>
      </c>
      <c r="D298" s="213" t="s">
        <v>3464</v>
      </c>
      <c r="E298" s="14" t="s">
        <v>166</v>
      </c>
      <c r="F298" s="141" t="str">
        <f>IF(wskakunin_sekkei1_ZIP="", "", wskakunin_sekkei1_ZIP)</f>
        <v>790-0916</v>
      </c>
      <c r="G298" s="15"/>
      <c r="H298" s="15" t="s">
        <v>727</v>
      </c>
    </row>
    <row r="299" spans="1:8" ht="15" customHeight="1" x14ac:dyDescent="0.15">
      <c r="A299" s="56"/>
      <c r="B299" s="73" t="s">
        <v>8</v>
      </c>
      <c r="C299" s="14" t="s">
        <v>802</v>
      </c>
      <c r="D299" s="141" t="s">
        <v>3457</v>
      </c>
      <c r="E299" s="14" t="s">
        <v>803</v>
      </c>
      <c r="F299" s="141" t="str">
        <f>IF(wskakunin_sekkei1__address="", "", wskakunin_sekkei1__address)</f>
        <v>愛媛県松山市束本1丁目6-10　2F</v>
      </c>
      <c r="G299" s="15"/>
      <c r="H299" s="15"/>
    </row>
    <row r="300" spans="1:8" ht="15" customHeight="1" x14ac:dyDescent="0.15">
      <c r="A300" s="56"/>
      <c r="B300" s="73" t="s">
        <v>7</v>
      </c>
      <c r="C300" s="14" t="s">
        <v>804</v>
      </c>
      <c r="D300" s="213" t="s">
        <v>3463</v>
      </c>
      <c r="E300" s="14" t="s">
        <v>805</v>
      </c>
      <c r="F300" s="141" t="str">
        <f>IF(wskakunin_sekkei1_TEL="", "", wskakunin_sekkei1_TEL)</f>
        <v>089-947-1313</v>
      </c>
      <c r="G300" s="15"/>
      <c r="H300" s="15"/>
    </row>
    <row r="301" spans="1:8" ht="15" customHeight="1" x14ac:dyDescent="0.15">
      <c r="A301" s="56"/>
      <c r="B301" s="73" t="s">
        <v>728</v>
      </c>
      <c r="C301" s="14" t="s">
        <v>806</v>
      </c>
      <c r="D301" s="213" t="s">
        <v>550</v>
      </c>
      <c r="E301" s="14" t="s">
        <v>807</v>
      </c>
      <c r="F301" s="141" t="str">
        <f>IF(wskakunin_sekkei1_DOC="","",wskakunin_sekkei1_DOC)</f>
        <v>設計図書一式</v>
      </c>
      <c r="G301" s="15"/>
      <c r="H301" s="15"/>
    </row>
    <row r="302" spans="1:8" ht="15" customHeight="1" x14ac:dyDescent="0.15">
      <c r="A302" s="56"/>
      <c r="B302" s="81"/>
      <c r="G302" s="15"/>
      <c r="H302" s="15"/>
    </row>
    <row r="303" spans="1:8" ht="15" customHeight="1" x14ac:dyDescent="0.15">
      <c r="A303" s="1" t="s">
        <v>730</v>
      </c>
      <c r="B303" s="45"/>
      <c r="G303" s="15"/>
      <c r="H303" s="15"/>
    </row>
    <row r="304" spans="1:8" ht="15" customHeight="1" x14ac:dyDescent="0.15">
      <c r="A304" s="23"/>
      <c r="B304" s="73" t="s">
        <v>606</v>
      </c>
      <c r="C304" s="14" t="s">
        <v>808</v>
      </c>
      <c r="D304" s="141"/>
      <c r="E304" s="14" t="s">
        <v>809</v>
      </c>
      <c r="F304" s="141" t="str">
        <f>IF(wskakunin_sekkei2__sikaku="", "", wskakunin_sekkei2__sikaku)</f>
        <v/>
      </c>
      <c r="G304" s="15"/>
      <c r="H304" s="15"/>
    </row>
    <row r="305" spans="1:8" ht="15" customHeight="1" x14ac:dyDescent="0.15">
      <c r="A305" s="28"/>
      <c r="B305" s="73" t="s">
        <v>607</v>
      </c>
      <c r="C305" s="14" t="s">
        <v>810</v>
      </c>
      <c r="D305" s="141"/>
      <c r="E305" s="14" t="s">
        <v>811</v>
      </c>
      <c r="F305" s="141" t="str">
        <f>IF(wskakunin_sekkei2_SIKAKU__label="","",wskakunin_sekkei2_SIKAKU__label)</f>
        <v/>
      </c>
      <c r="G305" s="15"/>
      <c r="H305" s="15"/>
    </row>
    <row r="306" spans="1:8" ht="15" customHeight="1" x14ac:dyDescent="0.15">
      <c r="A306" s="28"/>
      <c r="B306" s="73" t="s">
        <v>602</v>
      </c>
      <c r="C306" s="14" t="s">
        <v>1456</v>
      </c>
      <c r="D306" s="141"/>
      <c r="E306" s="14" t="s">
        <v>812</v>
      </c>
      <c r="F306" s="141" t="str">
        <f>IF(wskakunin_sekkei2_TOUROKU_KIKAN__label="","",wskakunin_sekkei2_TOUROKU_KIKAN__label)</f>
        <v/>
      </c>
      <c r="G306" s="15"/>
      <c r="H306" s="15"/>
    </row>
    <row r="307" spans="1:8" ht="15" customHeight="1" x14ac:dyDescent="0.15">
      <c r="A307" s="28"/>
      <c r="B307" s="73" t="s">
        <v>603</v>
      </c>
      <c r="C307" s="14" t="s">
        <v>813</v>
      </c>
      <c r="D307" s="213"/>
      <c r="E307" s="14" t="s">
        <v>814</v>
      </c>
      <c r="F307" s="141" t="str">
        <f>IF(wskakunin_sekkei2_KENTIKUSI_NO="","",wskakunin_sekkei2_KENTIKUSI_NO)</f>
        <v/>
      </c>
      <c r="G307" s="15"/>
      <c r="H307" s="15"/>
    </row>
    <row r="308" spans="1:8" ht="15" customHeight="1" x14ac:dyDescent="0.15">
      <c r="A308" s="40"/>
      <c r="B308" s="73" t="s">
        <v>92</v>
      </c>
      <c r="C308" s="14" t="s">
        <v>815</v>
      </c>
      <c r="D308" s="141"/>
      <c r="E308" s="14" t="s">
        <v>816</v>
      </c>
      <c r="F308" s="141" t="str">
        <f>IF(wskakunin_sekkei2_NAME="", "", wskakunin_sekkei2_NAME)</f>
        <v/>
      </c>
      <c r="G308" s="15"/>
      <c r="H308" s="15"/>
    </row>
    <row r="309" spans="1:8" ht="15" customHeight="1" x14ac:dyDescent="0.15">
      <c r="A309" s="40"/>
      <c r="B309" s="73" t="s">
        <v>608</v>
      </c>
      <c r="C309" s="14" t="s">
        <v>817</v>
      </c>
      <c r="D309" s="141"/>
      <c r="E309" s="14" t="s">
        <v>818</v>
      </c>
      <c r="F309" s="141" t="str">
        <f>IF(wskakunin_sekkei2_JIMU__sikaku="", "", wskakunin_sekkei2_JIMU__sikaku)</f>
        <v/>
      </c>
      <c r="G309" s="15"/>
      <c r="H309" s="15"/>
    </row>
    <row r="310" spans="1:8" ht="15" customHeight="1" x14ac:dyDescent="0.15">
      <c r="A310" s="40"/>
      <c r="B310" s="73" t="s">
        <v>93</v>
      </c>
      <c r="C310" s="14" t="s">
        <v>819</v>
      </c>
      <c r="D310" s="141"/>
      <c r="E310" s="14" t="s">
        <v>1543</v>
      </c>
      <c r="F310" s="141" t="str">
        <f>IF(wskakunin_sekkei2_JIMU_SIKAKU__label="","",wskakunin_sekkei2_JIMU_SIKAKU__label)</f>
        <v/>
      </c>
      <c r="G310" s="15"/>
      <c r="H310" s="15"/>
    </row>
    <row r="311" spans="1:8" ht="15" customHeight="1" x14ac:dyDescent="0.15">
      <c r="A311" s="40"/>
      <c r="B311" s="73" t="s">
        <v>609</v>
      </c>
      <c r="C311" s="14" t="s">
        <v>1457</v>
      </c>
      <c r="D311" s="141"/>
      <c r="E311" s="14" t="s">
        <v>820</v>
      </c>
      <c r="F311" s="141" t="str">
        <f>IF(wskakunin_sekkei2_JIMU_TOUROKU_KIKAN__label="","",wskakunin_sekkei2_JIMU_TOUROKU_KIKAN__label)</f>
        <v/>
      </c>
      <c r="G311" s="15"/>
      <c r="H311" s="15"/>
    </row>
    <row r="312" spans="1:8" ht="15" customHeight="1" x14ac:dyDescent="0.15">
      <c r="A312" s="40"/>
      <c r="B312" s="73" t="s">
        <v>610</v>
      </c>
      <c r="C312" s="14" t="s">
        <v>821</v>
      </c>
      <c r="D312" s="213"/>
      <c r="E312" s="14" t="s">
        <v>822</v>
      </c>
      <c r="F312" s="141" t="str">
        <f>IF(wskakunin_sekkei2_JIMU_NO="","",wskakunin_sekkei2_JIMU_NO)</f>
        <v/>
      </c>
      <c r="G312" s="15"/>
      <c r="H312" s="15"/>
    </row>
    <row r="313" spans="1:8" ht="15" customHeight="1" x14ac:dyDescent="0.15">
      <c r="A313" s="56"/>
      <c r="B313" s="73" t="s">
        <v>94</v>
      </c>
      <c r="C313" s="14" t="s">
        <v>823</v>
      </c>
      <c r="D313" s="141"/>
      <c r="E313" s="14" t="s">
        <v>824</v>
      </c>
      <c r="F313" s="141" t="str">
        <f>IF(wskakunin_sekkei2_JIMU_NAME="", "", wskakunin_sekkei2_JIMU_NAME)</f>
        <v/>
      </c>
      <c r="G313" s="15"/>
      <c r="H313" s="15"/>
    </row>
    <row r="314" spans="1:8" ht="15" customHeight="1" x14ac:dyDescent="0.15">
      <c r="A314" s="40"/>
      <c r="B314" s="73" t="s">
        <v>709</v>
      </c>
      <c r="D314" s="30"/>
      <c r="E314" s="14" t="s">
        <v>825</v>
      </c>
      <c r="F314" s="141" t="str">
        <f>wskakunin_sekkei2_JIMU_NAME&amp;" "&amp;wskakunin_sekkei2_NAME</f>
        <v xml:space="preserve"> </v>
      </c>
      <c r="G314" s="15"/>
      <c r="H314" s="15"/>
    </row>
    <row r="315" spans="1:8" ht="15" customHeight="1" x14ac:dyDescent="0.15">
      <c r="A315" s="56"/>
      <c r="B315" s="73" t="s">
        <v>5</v>
      </c>
      <c r="C315" s="14" t="s">
        <v>826</v>
      </c>
      <c r="D315" s="213"/>
      <c r="E315" s="14" t="s">
        <v>827</v>
      </c>
      <c r="F315" s="141" t="str">
        <f>IF(wskakunin_sekkei2_ZIP="", "", wskakunin_sekkei2_ZIP)</f>
        <v/>
      </c>
      <c r="G315" s="15"/>
      <c r="H315" s="15" t="s">
        <v>727</v>
      </c>
    </row>
    <row r="316" spans="1:8" ht="15" customHeight="1" x14ac:dyDescent="0.15">
      <c r="A316" s="56"/>
      <c r="B316" s="73" t="s">
        <v>8</v>
      </c>
      <c r="C316" s="14" t="s">
        <v>828</v>
      </c>
      <c r="D316" s="141"/>
      <c r="E316" s="14" t="s">
        <v>829</v>
      </c>
      <c r="F316" s="141" t="str">
        <f>IF(wskakunin_sekkei2__address="", "", wskakunin_sekkei2__address)</f>
        <v/>
      </c>
      <c r="G316" s="15"/>
      <c r="H316" s="15"/>
    </row>
    <row r="317" spans="1:8" ht="15" customHeight="1" x14ac:dyDescent="0.15">
      <c r="A317" s="56"/>
      <c r="B317" s="73" t="s">
        <v>7</v>
      </c>
      <c r="C317" s="14" t="s">
        <v>830</v>
      </c>
      <c r="D317" s="213"/>
      <c r="E317" s="14" t="s">
        <v>831</v>
      </c>
      <c r="F317" s="141" t="str">
        <f>IF(wskakunin_sekkei2_TEL="", "", wskakunin_sekkei2_TEL)</f>
        <v/>
      </c>
      <c r="G317" s="15"/>
      <c r="H317" s="15"/>
    </row>
    <row r="318" spans="1:8" ht="15" customHeight="1" x14ac:dyDescent="0.15">
      <c r="A318" s="56"/>
      <c r="B318" s="73" t="s">
        <v>728</v>
      </c>
      <c r="C318" s="14" t="s">
        <v>832</v>
      </c>
      <c r="D318" s="213"/>
      <c r="E318" s="14" t="s">
        <v>833</v>
      </c>
      <c r="F318" s="141" t="str">
        <f>IF(wskakunin_sekkei2_DOC="","",wskakunin_sekkei2_DOC)</f>
        <v/>
      </c>
      <c r="G318" s="15"/>
      <c r="H318" s="15"/>
    </row>
    <row r="319" spans="1:8" ht="15" customHeight="1" x14ac:dyDescent="0.15">
      <c r="A319" s="56"/>
      <c r="B319" s="81"/>
      <c r="G319" s="15"/>
      <c r="H319" s="15"/>
    </row>
    <row r="320" spans="1:8" ht="15" customHeight="1" x14ac:dyDescent="0.15">
      <c r="A320" s="1" t="s">
        <v>731</v>
      </c>
      <c r="B320" s="45"/>
      <c r="G320" s="15"/>
      <c r="H320" s="15"/>
    </row>
    <row r="321" spans="1:8" ht="15" customHeight="1" x14ac:dyDescent="0.15">
      <c r="A321" s="23"/>
      <c r="B321" s="73" t="s">
        <v>606</v>
      </c>
      <c r="C321" s="14" t="s">
        <v>834</v>
      </c>
      <c r="D321" s="141"/>
      <c r="E321" s="14" t="s">
        <v>835</v>
      </c>
      <c r="F321" s="141" t="str">
        <f>IF(wskakunin_sekkei3__sikaku="", "", wskakunin_sekkei3__sikaku)</f>
        <v/>
      </c>
      <c r="G321" s="15"/>
      <c r="H321" s="15"/>
    </row>
    <row r="322" spans="1:8" ht="15" customHeight="1" x14ac:dyDescent="0.15">
      <c r="A322" s="28"/>
      <c r="B322" s="73" t="s">
        <v>607</v>
      </c>
      <c r="C322" s="14" t="s">
        <v>836</v>
      </c>
      <c r="D322" s="141"/>
      <c r="E322" s="14" t="s">
        <v>837</v>
      </c>
      <c r="F322" s="141" t="str">
        <f>IF(wskakunin_sekkei3_SIKAKU__label="","",wskakunin_sekkei3_SIKAKU__label)</f>
        <v/>
      </c>
      <c r="G322" s="15"/>
      <c r="H322" s="15"/>
    </row>
    <row r="323" spans="1:8" ht="15" customHeight="1" x14ac:dyDescent="0.15">
      <c r="A323" s="28"/>
      <c r="B323" s="73" t="s">
        <v>602</v>
      </c>
      <c r="C323" s="14" t="s">
        <v>1458</v>
      </c>
      <c r="D323" s="141"/>
      <c r="E323" s="14" t="s">
        <v>838</v>
      </c>
      <c r="F323" s="141" t="str">
        <f>IF(wskakunin_sekkei3_TOUROKU_KIKAN__label="","",wskakunin_sekkei3_TOUROKU_KIKAN__label)</f>
        <v/>
      </c>
      <c r="G323" s="15"/>
      <c r="H323" s="15"/>
    </row>
    <row r="324" spans="1:8" ht="15" customHeight="1" x14ac:dyDescent="0.15">
      <c r="A324" s="28"/>
      <c r="B324" s="73" t="s">
        <v>603</v>
      </c>
      <c r="C324" s="14" t="s">
        <v>839</v>
      </c>
      <c r="D324" s="213"/>
      <c r="E324" s="14" t="s">
        <v>840</v>
      </c>
      <c r="F324" s="141" t="str">
        <f>IF(wskakunin_sekkei3_KENTIKUSI_NO="","",wskakunin_sekkei3_KENTIKUSI_NO)</f>
        <v/>
      </c>
      <c r="G324" s="15"/>
      <c r="H324" s="15"/>
    </row>
    <row r="325" spans="1:8" ht="15" customHeight="1" x14ac:dyDescent="0.15">
      <c r="A325" s="40"/>
      <c r="B325" s="73" t="s">
        <v>92</v>
      </c>
      <c r="C325" s="14" t="s">
        <v>841</v>
      </c>
      <c r="D325" s="141"/>
      <c r="E325" s="14" t="s">
        <v>842</v>
      </c>
      <c r="F325" s="141" t="str">
        <f>IF(wskakunin_sekkei3_NAME="", "", wskakunin_sekkei3_NAME)</f>
        <v/>
      </c>
      <c r="G325" s="15"/>
      <c r="H325" s="15"/>
    </row>
    <row r="326" spans="1:8" ht="15" customHeight="1" x14ac:dyDescent="0.15">
      <c r="A326" s="40"/>
      <c r="B326" s="73" t="s">
        <v>608</v>
      </c>
      <c r="C326" s="14" t="s">
        <v>843</v>
      </c>
      <c r="D326" s="141"/>
      <c r="E326" s="14" t="s">
        <v>844</v>
      </c>
      <c r="F326" s="141" t="str">
        <f>IF(wskakunin_sekkei3_JIMU__sikaku="", "", wskakunin_sekkei3_JIMU__sikaku)</f>
        <v/>
      </c>
      <c r="G326" s="15"/>
      <c r="H326" s="15"/>
    </row>
    <row r="327" spans="1:8" ht="15" customHeight="1" x14ac:dyDescent="0.15">
      <c r="A327" s="40"/>
      <c r="B327" s="73" t="s">
        <v>93</v>
      </c>
      <c r="C327" s="14" t="s">
        <v>845</v>
      </c>
      <c r="D327" s="141"/>
      <c r="E327" s="14" t="s">
        <v>1544</v>
      </c>
      <c r="F327" s="141" t="str">
        <f>IF(wskakunin_sekkei3_JIMU_SIKAKU__label="","",wskakunin_sekkei3_JIMU_SIKAKU__label)</f>
        <v/>
      </c>
      <c r="G327" s="15"/>
      <c r="H327" s="15"/>
    </row>
    <row r="328" spans="1:8" ht="15" customHeight="1" x14ac:dyDescent="0.15">
      <c r="A328" s="40"/>
      <c r="B328" s="73" t="s">
        <v>609</v>
      </c>
      <c r="C328" s="14" t="s">
        <v>1459</v>
      </c>
      <c r="D328" s="141"/>
      <c r="E328" s="14" t="s">
        <v>846</v>
      </c>
      <c r="F328" s="141" t="str">
        <f>IF(wskakunin_sekkei3_JIMU_TOUROKU_KIKAN__label="","",wskakunin_sekkei3_JIMU_TOUROKU_KIKAN__label)</f>
        <v/>
      </c>
      <c r="G328" s="15"/>
      <c r="H328" s="15"/>
    </row>
    <row r="329" spans="1:8" ht="15" customHeight="1" x14ac:dyDescent="0.15">
      <c r="A329" s="40"/>
      <c r="B329" s="73" t="s">
        <v>610</v>
      </c>
      <c r="C329" s="14" t="s">
        <v>847</v>
      </c>
      <c r="D329" s="213"/>
      <c r="E329" s="14" t="s">
        <v>848</v>
      </c>
      <c r="F329" s="141" t="str">
        <f>IF(wskakunin_sekkei3_JIMU_NO="","",wskakunin_sekkei3_JIMU_NO)</f>
        <v/>
      </c>
      <c r="G329" s="15"/>
      <c r="H329" s="15"/>
    </row>
    <row r="330" spans="1:8" ht="15" customHeight="1" x14ac:dyDescent="0.15">
      <c r="A330" s="56"/>
      <c r="B330" s="73" t="s">
        <v>94</v>
      </c>
      <c r="C330" s="14" t="s">
        <v>849</v>
      </c>
      <c r="D330" s="141"/>
      <c r="E330" s="14" t="s">
        <v>850</v>
      </c>
      <c r="F330" s="141" t="str">
        <f>IF(wskakunin_sekkei3_JIMU_NAME="", "", wskakunin_sekkei3_JIMU_NAME)</f>
        <v/>
      </c>
      <c r="G330" s="15"/>
      <c r="H330" s="15"/>
    </row>
    <row r="331" spans="1:8" ht="15" customHeight="1" x14ac:dyDescent="0.15">
      <c r="A331" s="40"/>
      <c r="B331" s="73" t="s">
        <v>709</v>
      </c>
      <c r="D331" s="30"/>
      <c r="E331" s="14" t="s">
        <v>851</v>
      </c>
      <c r="F331" s="141" t="str">
        <f>wskakunin_sekkei3_JIMU_NAME&amp;" "&amp;wskakunin_sekkei3_NAME</f>
        <v xml:space="preserve"> </v>
      </c>
      <c r="G331" s="15"/>
      <c r="H331" s="15"/>
    </row>
    <row r="332" spans="1:8" ht="15" customHeight="1" x14ac:dyDescent="0.15">
      <c r="A332" s="56"/>
      <c r="B332" s="73" t="s">
        <v>5</v>
      </c>
      <c r="C332" s="14" t="s">
        <v>852</v>
      </c>
      <c r="D332" s="213"/>
      <c r="E332" s="14" t="s">
        <v>853</v>
      </c>
      <c r="F332" s="141" t="str">
        <f>IF(wskakunin_sekkei3_ZIP="", "", wskakunin_sekkei3_ZIP)</f>
        <v/>
      </c>
      <c r="G332" s="15"/>
      <c r="H332" s="15" t="s">
        <v>727</v>
      </c>
    </row>
    <row r="333" spans="1:8" ht="15" customHeight="1" x14ac:dyDescent="0.15">
      <c r="A333" s="56"/>
      <c r="B333" s="73" t="s">
        <v>8</v>
      </c>
      <c r="C333" s="14" t="s">
        <v>854</v>
      </c>
      <c r="D333" s="141"/>
      <c r="E333" s="14" t="s">
        <v>855</v>
      </c>
      <c r="F333" s="141" t="str">
        <f>IF(wskakunin_sekkei3__address="", "", wskakunin_sekkei3__address)</f>
        <v/>
      </c>
      <c r="G333" s="15"/>
      <c r="H333" s="15"/>
    </row>
    <row r="334" spans="1:8" ht="15" customHeight="1" x14ac:dyDescent="0.15">
      <c r="A334" s="56"/>
      <c r="B334" s="73" t="s">
        <v>7</v>
      </c>
      <c r="C334" s="14" t="s">
        <v>856</v>
      </c>
      <c r="D334" s="213"/>
      <c r="E334" s="14" t="s">
        <v>857</v>
      </c>
      <c r="F334" s="141" t="str">
        <f>IF(wskakunin_sekkei3_TEL="", "", wskakunin_sekkei3_TEL)</f>
        <v/>
      </c>
      <c r="G334" s="15"/>
      <c r="H334" s="15"/>
    </row>
    <row r="335" spans="1:8" ht="15" customHeight="1" x14ac:dyDescent="0.15">
      <c r="A335" s="56"/>
      <c r="B335" s="73" t="s">
        <v>728</v>
      </c>
      <c r="C335" s="14" t="s">
        <v>858</v>
      </c>
      <c r="D335" s="213"/>
      <c r="E335" s="14" t="s">
        <v>859</v>
      </c>
      <c r="F335" s="141" t="str">
        <f>IF(wskakunin_sekkei3_DOC="","",wskakunin_sekkei3_DOC)</f>
        <v/>
      </c>
      <c r="G335" s="15"/>
      <c r="H335" s="15"/>
    </row>
    <row r="336" spans="1:8" ht="15" customHeight="1" x14ac:dyDescent="0.15">
      <c r="A336" s="56"/>
      <c r="B336" s="81"/>
      <c r="G336" s="15"/>
      <c r="H336" s="15"/>
    </row>
    <row r="337" spans="1:8" ht="15" customHeight="1" x14ac:dyDescent="0.15">
      <c r="A337" s="42" t="s">
        <v>732</v>
      </c>
      <c r="B337" s="45"/>
      <c r="G337" s="15"/>
      <c r="H337" s="15"/>
    </row>
    <row r="338" spans="1:8" ht="15" customHeight="1" x14ac:dyDescent="0.15">
      <c r="A338" s="79"/>
      <c r="B338" s="73" t="s">
        <v>606</v>
      </c>
      <c r="C338" s="14" t="s">
        <v>860</v>
      </c>
      <c r="D338" s="141"/>
      <c r="E338" s="14" t="s">
        <v>861</v>
      </c>
      <c r="F338" s="141" t="str">
        <f>IF(wskakunin_sekkei4__sikaku="", "", wskakunin_sekkei4__sikaku)</f>
        <v/>
      </c>
      <c r="G338" s="15"/>
      <c r="H338" s="15"/>
    </row>
    <row r="339" spans="1:8" ht="15" customHeight="1" x14ac:dyDescent="0.15">
      <c r="A339" s="79"/>
      <c r="B339" s="73" t="s">
        <v>607</v>
      </c>
      <c r="C339" s="14" t="s">
        <v>862</v>
      </c>
      <c r="D339" s="141"/>
      <c r="E339" s="14" t="s">
        <v>863</v>
      </c>
      <c r="F339" s="141" t="str">
        <f>IF(wskakunin_sekkei4_SIKAKU__label="","",wskakunin_sekkei4_SIKAKU__label)</f>
        <v/>
      </c>
      <c r="G339" s="15"/>
      <c r="H339" s="15"/>
    </row>
    <row r="340" spans="1:8" ht="15" customHeight="1" x14ac:dyDescent="0.15">
      <c r="A340" s="79"/>
      <c r="B340" s="73" t="s">
        <v>602</v>
      </c>
      <c r="C340" s="14" t="s">
        <v>1460</v>
      </c>
      <c r="D340" s="141"/>
      <c r="E340" s="14" t="s">
        <v>864</v>
      </c>
      <c r="F340" s="141" t="str">
        <f>IF(wskakunin_sekkei4_TOUROKU_KIKAN__label="","",wskakunin_sekkei4_TOUROKU_KIKAN__label)</f>
        <v/>
      </c>
      <c r="G340" s="15"/>
      <c r="H340" s="15"/>
    </row>
    <row r="341" spans="1:8" ht="15" customHeight="1" x14ac:dyDescent="0.15">
      <c r="A341" s="79"/>
      <c r="B341" s="73" t="s">
        <v>603</v>
      </c>
      <c r="C341" s="14" t="s">
        <v>865</v>
      </c>
      <c r="D341" s="213"/>
      <c r="E341" s="14" t="s">
        <v>866</v>
      </c>
      <c r="F341" s="141" t="str">
        <f>IF(wskakunin_sekkei4_KENTIKUSI_NO="","",wskakunin_sekkei4_KENTIKUSI_NO)</f>
        <v/>
      </c>
      <c r="G341" s="15"/>
      <c r="H341" s="15"/>
    </row>
    <row r="342" spans="1:8" ht="15" customHeight="1" x14ac:dyDescent="0.15">
      <c r="A342" s="46"/>
      <c r="B342" s="73" t="s">
        <v>92</v>
      </c>
      <c r="C342" s="14" t="s">
        <v>867</v>
      </c>
      <c r="D342" s="141"/>
      <c r="E342" s="14" t="s">
        <v>868</v>
      </c>
      <c r="F342" s="141" t="str">
        <f>IF(wskakunin_sekkei4_NAME="", "", wskakunin_sekkei4_NAME)</f>
        <v/>
      </c>
      <c r="G342" s="15"/>
      <c r="H342" s="15"/>
    </row>
    <row r="343" spans="1:8" ht="15" customHeight="1" x14ac:dyDescent="0.15">
      <c r="A343" s="46"/>
      <c r="B343" s="73" t="s">
        <v>608</v>
      </c>
      <c r="C343" s="14" t="s">
        <v>869</v>
      </c>
      <c r="D343" s="141"/>
      <c r="E343" s="14" t="s">
        <v>870</v>
      </c>
      <c r="F343" s="141" t="str">
        <f>IF(wskakunin_sekkei4_JIMU__sikaku="", "", wskakunin_sekkei4_JIMU__sikaku)</f>
        <v/>
      </c>
      <c r="G343" s="15"/>
      <c r="H343" s="15"/>
    </row>
    <row r="344" spans="1:8" ht="15" customHeight="1" x14ac:dyDescent="0.15">
      <c r="A344" s="46"/>
      <c r="B344" s="73" t="s">
        <v>93</v>
      </c>
      <c r="C344" s="14" t="s">
        <v>871</v>
      </c>
      <c r="D344" s="141"/>
      <c r="E344" s="14" t="s">
        <v>1545</v>
      </c>
      <c r="F344" s="141" t="str">
        <f>IF(wskakunin_sekkei4_JIMU_SIKAKU__label="","",wskakunin_sekkei4_JIMU_SIKAKU__label)</f>
        <v/>
      </c>
      <c r="G344" s="15"/>
      <c r="H344" s="15"/>
    </row>
    <row r="345" spans="1:8" ht="15" customHeight="1" x14ac:dyDescent="0.15">
      <c r="A345" s="46"/>
      <c r="B345" s="73" t="s">
        <v>609</v>
      </c>
      <c r="C345" s="14" t="s">
        <v>1461</v>
      </c>
      <c r="D345" s="141"/>
      <c r="E345" s="14" t="s">
        <v>872</v>
      </c>
      <c r="F345" s="141" t="str">
        <f>IF(wskakunin_sekkei4_JIMU_TOUROKU_KIKAN__label="","",wskakunin_sekkei4_JIMU_TOUROKU_KIKAN__label)</f>
        <v/>
      </c>
      <c r="G345" s="15"/>
      <c r="H345" s="15"/>
    </row>
    <row r="346" spans="1:8" ht="15" customHeight="1" x14ac:dyDescent="0.15">
      <c r="A346" s="46"/>
      <c r="B346" s="73" t="s">
        <v>610</v>
      </c>
      <c r="C346" s="14" t="s">
        <v>873</v>
      </c>
      <c r="D346" s="213"/>
      <c r="E346" s="14" t="s">
        <v>874</v>
      </c>
      <c r="F346" s="141" t="str">
        <f>IF(wskakunin_sekkei4_JIMU_NO="","",wskakunin_sekkei4_JIMU_NO)</f>
        <v/>
      </c>
      <c r="G346" s="15"/>
      <c r="H346" s="15"/>
    </row>
    <row r="347" spans="1:8" ht="15" customHeight="1" x14ac:dyDescent="0.15">
      <c r="A347" s="46"/>
      <c r="B347" s="73" t="s">
        <v>94</v>
      </c>
      <c r="C347" s="14" t="s">
        <v>875</v>
      </c>
      <c r="D347" s="141"/>
      <c r="E347" s="14" t="s">
        <v>876</v>
      </c>
      <c r="F347" s="141" t="str">
        <f>IF(wskakunin_sekkei4_JIMU_NAME="", "", wskakunin_sekkei4_JIMU_NAME)</f>
        <v/>
      </c>
      <c r="G347" s="15"/>
      <c r="H347" s="15"/>
    </row>
    <row r="348" spans="1:8" ht="15" customHeight="1" x14ac:dyDescent="0.15">
      <c r="A348" s="46"/>
      <c r="B348" s="73" t="s">
        <v>709</v>
      </c>
      <c r="D348" s="30"/>
      <c r="E348" s="14" t="s">
        <v>877</v>
      </c>
      <c r="F348" s="141" t="str">
        <f>wskakunin_sekkei4_JIMU_NAME&amp;" "&amp;wskakunin_sekkei4_NAME</f>
        <v xml:space="preserve"> </v>
      </c>
      <c r="G348" s="15"/>
      <c r="H348" s="15"/>
    </row>
    <row r="349" spans="1:8" ht="15" customHeight="1" x14ac:dyDescent="0.15">
      <c r="A349" s="46"/>
      <c r="B349" s="73" t="s">
        <v>5</v>
      </c>
      <c r="C349" s="14" t="s">
        <v>878</v>
      </c>
      <c r="D349" s="213"/>
      <c r="E349" s="14" t="s">
        <v>879</v>
      </c>
      <c r="F349" s="141" t="str">
        <f>IF(wskakunin_sekkei4_ZIP="", "", wskakunin_sekkei4_ZIP)</f>
        <v/>
      </c>
      <c r="G349" s="15"/>
      <c r="H349" s="15" t="s">
        <v>727</v>
      </c>
    </row>
    <row r="350" spans="1:8" ht="15" customHeight="1" x14ac:dyDescent="0.15">
      <c r="A350" s="46"/>
      <c r="B350" s="73" t="s">
        <v>8</v>
      </c>
      <c r="C350" s="14" t="s">
        <v>880</v>
      </c>
      <c r="D350" s="141"/>
      <c r="E350" s="14" t="s">
        <v>881</v>
      </c>
      <c r="F350" s="141" t="str">
        <f>IF(wskakunin_sekkei4__address="", "", wskakunin_sekkei4__address)</f>
        <v/>
      </c>
      <c r="G350" s="15"/>
      <c r="H350" s="15"/>
    </row>
    <row r="351" spans="1:8" ht="15" customHeight="1" x14ac:dyDescent="0.15">
      <c r="A351" s="46"/>
      <c r="B351" s="73" t="s">
        <v>7</v>
      </c>
      <c r="C351" s="14" t="s">
        <v>882</v>
      </c>
      <c r="D351" s="213"/>
      <c r="E351" s="14" t="s">
        <v>883</v>
      </c>
      <c r="F351" s="141" t="str">
        <f>IF(wskakunin_sekkei4_TEL="", "", wskakunin_sekkei4_TEL)</f>
        <v/>
      </c>
      <c r="G351" s="15"/>
      <c r="H351" s="15"/>
    </row>
    <row r="352" spans="1:8" ht="15" customHeight="1" x14ac:dyDescent="0.15">
      <c r="A352" s="46"/>
      <c r="B352" s="73" t="s">
        <v>728</v>
      </c>
      <c r="C352" s="14" t="s">
        <v>884</v>
      </c>
      <c r="D352" s="213"/>
      <c r="E352" s="14" t="s">
        <v>885</v>
      </c>
      <c r="F352" s="141" t="str">
        <f>IF(wskakunin_sekkei4_DOC="","",wskakunin_sekkei4_DOC)</f>
        <v/>
      </c>
      <c r="G352" s="15"/>
      <c r="H352" s="15"/>
    </row>
    <row r="353" spans="1:8" ht="15" customHeight="1" x14ac:dyDescent="0.15">
      <c r="A353" s="47"/>
      <c r="B353" s="81"/>
      <c r="G353" s="15"/>
      <c r="H353" s="15"/>
    </row>
    <row r="354" spans="1:8" ht="15" customHeight="1" x14ac:dyDescent="0.15">
      <c r="A354" s="1" t="s">
        <v>1826</v>
      </c>
      <c r="B354" s="45"/>
      <c r="G354" s="15"/>
      <c r="H354" s="15"/>
    </row>
    <row r="355" spans="1:8" ht="15" customHeight="1" x14ac:dyDescent="0.15">
      <c r="A355" s="23"/>
      <c r="B355" s="73" t="s">
        <v>606</v>
      </c>
      <c r="C355" s="14" t="s">
        <v>1827</v>
      </c>
      <c r="D355" s="141"/>
      <c r="E355" s="14" t="s">
        <v>1828</v>
      </c>
      <c r="F355" s="141" t="str">
        <f>IF(wskakunin_sekkei5__sikaku="", "", wskakunin_sekkei5__sikaku)</f>
        <v/>
      </c>
      <c r="H355" s="15"/>
    </row>
    <row r="356" spans="1:8" ht="15" customHeight="1" x14ac:dyDescent="0.15">
      <c r="A356" s="28"/>
      <c r="B356" s="73" t="s">
        <v>607</v>
      </c>
      <c r="C356" s="14" t="s">
        <v>1829</v>
      </c>
      <c r="D356" s="141"/>
      <c r="E356" s="14" t="s">
        <v>1830</v>
      </c>
      <c r="F356" s="141" t="str">
        <f>IF(wskakunin_sekkei5_SIKAKU__label="","",wskakunin_sekkei5_SIKAKU__label)</f>
        <v/>
      </c>
      <c r="H356" s="15"/>
    </row>
    <row r="357" spans="1:8" ht="15" customHeight="1" x14ac:dyDescent="0.15">
      <c r="A357" s="28"/>
      <c r="B357" s="73" t="s">
        <v>602</v>
      </c>
      <c r="C357" s="14" t="s">
        <v>1831</v>
      </c>
      <c r="D357" s="141"/>
      <c r="E357" s="14" t="s">
        <v>1832</v>
      </c>
      <c r="F357" s="141" t="str">
        <f>IF(wskakunin_sekkei5_TOUROKU_KIKAN__label="","",wskakunin_sekkei5_TOUROKU_KIKAN__label)</f>
        <v/>
      </c>
      <c r="H357" s="15"/>
    </row>
    <row r="358" spans="1:8" ht="15" customHeight="1" x14ac:dyDescent="0.15">
      <c r="A358" s="28"/>
      <c r="B358" s="73" t="s">
        <v>603</v>
      </c>
      <c r="C358" s="14" t="s">
        <v>1833</v>
      </c>
      <c r="D358" s="213"/>
      <c r="E358" s="14" t="s">
        <v>1834</v>
      </c>
      <c r="F358" s="141" t="str">
        <f>IF(wskakunin_sekkei5_KENTIKUSI_NO="","",wskakunin_sekkei5_KENTIKUSI_NO)</f>
        <v/>
      </c>
      <c r="H358" s="15"/>
    </row>
    <row r="359" spans="1:8" ht="15" customHeight="1" x14ac:dyDescent="0.15">
      <c r="A359" s="40"/>
      <c r="B359" s="73" t="s">
        <v>92</v>
      </c>
      <c r="C359" s="14" t="s">
        <v>1835</v>
      </c>
      <c r="D359" s="141"/>
      <c r="E359" s="14" t="s">
        <v>1836</v>
      </c>
      <c r="F359" s="141" t="str">
        <f>IF(wskakunin_sekkei5_NAME="", "", wskakunin_sekkei5_NAME)</f>
        <v/>
      </c>
      <c r="H359" s="15"/>
    </row>
    <row r="360" spans="1:8" ht="15" customHeight="1" x14ac:dyDescent="0.15">
      <c r="A360" s="40"/>
      <c r="B360" s="73" t="s">
        <v>608</v>
      </c>
      <c r="C360" s="14" t="s">
        <v>1837</v>
      </c>
      <c r="D360" s="141"/>
      <c r="E360" s="14" t="s">
        <v>1838</v>
      </c>
      <c r="F360" s="141" t="str">
        <f>IF(wskakunin_sekkei5_JIMU__sikaku="", "", wskakunin_sekkei5_JIMU__sikaku)</f>
        <v/>
      </c>
      <c r="H360" s="15"/>
    </row>
    <row r="361" spans="1:8" ht="15" customHeight="1" x14ac:dyDescent="0.15">
      <c r="A361" s="40"/>
      <c r="B361" s="73" t="s">
        <v>93</v>
      </c>
      <c r="C361" s="14" t="s">
        <v>1839</v>
      </c>
      <c r="D361" s="141"/>
      <c r="E361" s="14" t="s">
        <v>1840</v>
      </c>
      <c r="F361" s="141" t="str">
        <f>IF(wskakunin_sekkei5_JIMU_SIKAKU__label="","",wskakunin_sekkei5_JIMU_SIKAKU__label)</f>
        <v/>
      </c>
      <c r="H361" s="15"/>
    </row>
    <row r="362" spans="1:8" ht="15" customHeight="1" x14ac:dyDescent="0.15">
      <c r="A362" s="40"/>
      <c r="B362" s="73" t="s">
        <v>609</v>
      </c>
      <c r="C362" s="14" t="s">
        <v>1841</v>
      </c>
      <c r="D362" s="141"/>
      <c r="E362" s="14" t="s">
        <v>1842</v>
      </c>
      <c r="F362" s="141" t="str">
        <f>IF(wskakunin_sekkei5_JIMU_TOUROKU_KIKAN__label="","",wskakunin_sekkei5_JIMU_TOUROKU_KIKAN__label)</f>
        <v/>
      </c>
      <c r="H362" s="15"/>
    </row>
    <row r="363" spans="1:8" ht="15" customHeight="1" x14ac:dyDescent="0.15">
      <c r="A363" s="40"/>
      <c r="B363" s="73" t="s">
        <v>610</v>
      </c>
      <c r="C363" s="14" t="s">
        <v>1843</v>
      </c>
      <c r="D363" s="213"/>
      <c r="E363" s="14" t="s">
        <v>1844</v>
      </c>
      <c r="F363" s="141" t="str">
        <f>IF(wskakunin_sekkei5_JIMU_NO="","",wskakunin_sekkei5_JIMU_NO)</f>
        <v/>
      </c>
      <c r="H363" s="15"/>
    </row>
    <row r="364" spans="1:8" ht="15" customHeight="1" x14ac:dyDescent="0.15">
      <c r="A364" s="56"/>
      <c r="B364" s="73" t="s">
        <v>94</v>
      </c>
      <c r="C364" s="14" t="s">
        <v>1845</v>
      </c>
      <c r="D364" s="141"/>
      <c r="E364" s="14" t="s">
        <v>1846</v>
      </c>
      <c r="F364" s="141" t="str">
        <f>IF(wskakunin_sekkei5_JIMU_NAME="", "", wskakunin_sekkei5_JIMU_NAME)</f>
        <v/>
      </c>
      <c r="H364" s="15"/>
    </row>
    <row r="365" spans="1:8" ht="15" customHeight="1" x14ac:dyDescent="0.15">
      <c r="A365" s="40"/>
      <c r="B365" s="73" t="s">
        <v>709</v>
      </c>
      <c r="D365" s="30"/>
      <c r="E365" s="14" t="s">
        <v>1847</v>
      </c>
      <c r="F365" s="141" t="str">
        <f>wskakunin_sekkei5_JIMU_NAME&amp;" "&amp;wskakunin_sekkei5_NAME</f>
        <v xml:space="preserve"> </v>
      </c>
      <c r="H365" s="15"/>
    </row>
    <row r="366" spans="1:8" ht="15" customHeight="1" x14ac:dyDescent="0.15">
      <c r="A366" s="56"/>
      <c r="B366" s="73" t="s">
        <v>5</v>
      </c>
      <c r="C366" s="14" t="s">
        <v>1848</v>
      </c>
      <c r="D366" s="213"/>
      <c r="E366" s="14" t="s">
        <v>1849</v>
      </c>
      <c r="F366" s="141" t="str">
        <f>IF(wskakunin_sekkei5_ZIP="", "", wskakunin_sekkei5_ZIP)</f>
        <v/>
      </c>
      <c r="H366" s="15" t="s">
        <v>727</v>
      </c>
    </row>
    <row r="367" spans="1:8" ht="15" customHeight="1" x14ac:dyDescent="0.15">
      <c r="A367" s="56"/>
      <c r="B367" s="73" t="s">
        <v>8</v>
      </c>
      <c r="C367" s="14" t="s">
        <v>1850</v>
      </c>
      <c r="D367" s="141"/>
      <c r="E367" s="14" t="s">
        <v>1851</v>
      </c>
      <c r="F367" s="141" t="str">
        <f>IF(wskakunin_sekkei5__address="", "", wskakunin_sekkei5__address)</f>
        <v/>
      </c>
      <c r="H367" s="15"/>
    </row>
    <row r="368" spans="1:8" ht="15" customHeight="1" x14ac:dyDescent="0.15">
      <c r="A368" s="56"/>
      <c r="B368" s="73" t="s">
        <v>7</v>
      </c>
      <c r="C368" s="14" t="s">
        <v>1852</v>
      </c>
      <c r="D368" s="213"/>
      <c r="E368" s="14" t="s">
        <v>1853</v>
      </c>
      <c r="F368" s="141" t="str">
        <f>IF(wskakunin_sekkei5_TEL="", "", wskakunin_sekkei5_TEL)</f>
        <v/>
      </c>
      <c r="H368" s="15"/>
    </row>
    <row r="369" spans="1:8" ht="15" customHeight="1" x14ac:dyDescent="0.15">
      <c r="A369" s="56"/>
      <c r="B369" s="73" t="s">
        <v>728</v>
      </c>
      <c r="C369" s="14" t="s">
        <v>1854</v>
      </c>
      <c r="D369" s="213"/>
      <c r="E369" s="14" t="s">
        <v>1855</v>
      </c>
      <c r="F369" s="141" t="str">
        <f>IF(wskakunin_sekkei5_DOC="","",wskakunin_sekkei5_DOC)</f>
        <v/>
      </c>
      <c r="H369" s="15"/>
    </row>
    <row r="370" spans="1:8" ht="15" customHeight="1" x14ac:dyDescent="0.15">
      <c r="A370" s="56"/>
      <c r="B370" s="81"/>
      <c r="H370" s="15"/>
    </row>
    <row r="371" spans="1:8" ht="15" customHeight="1" x14ac:dyDescent="0.15">
      <c r="A371" s="1" t="s">
        <v>2031</v>
      </c>
      <c r="B371" s="45"/>
      <c r="H371" s="15"/>
    </row>
    <row r="372" spans="1:8" ht="15" customHeight="1" x14ac:dyDescent="0.15">
      <c r="A372" s="23"/>
      <c r="B372" s="73" t="s">
        <v>606</v>
      </c>
      <c r="C372" s="14" t="s">
        <v>1856</v>
      </c>
      <c r="D372" s="141"/>
      <c r="E372" s="14" t="s">
        <v>1857</v>
      </c>
      <c r="F372" s="141" t="str">
        <f>IF(wskakunin_sekkei6__sikaku="", "", wskakunin_sekkei6__sikaku)</f>
        <v/>
      </c>
      <c r="H372" s="15"/>
    </row>
    <row r="373" spans="1:8" ht="15" customHeight="1" x14ac:dyDescent="0.15">
      <c r="A373" s="28"/>
      <c r="B373" s="73" t="s">
        <v>607</v>
      </c>
      <c r="C373" s="14" t="s">
        <v>1858</v>
      </c>
      <c r="D373" s="141"/>
      <c r="E373" s="14" t="s">
        <v>1859</v>
      </c>
      <c r="F373" s="141" t="str">
        <f>IF(wskakunin_sekkei6_SIKAKU__label="","",wskakunin_sekkei6_SIKAKU__label)</f>
        <v/>
      </c>
      <c r="H373" s="15"/>
    </row>
    <row r="374" spans="1:8" ht="15" customHeight="1" x14ac:dyDescent="0.15">
      <c r="A374" s="28"/>
      <c r="B374" s="73" t="s">
        <v>602</v>
      </c>
      <c r="C374" s="14" t="s">
        <v>1860</v>
      </c>
      <c r="D374" s="141"/>
      <c r="E374" s="14" t="s">
        <v>1861</v>
      </c>
      <c r="F374" s="141" t="str">
        <f>IF(wskakunin_sekkei6_TOUROKU_KIKAN__label="","",wskakunin_sekkei6_TOUROKU_KIKAN__label)</f>
        <v/>
      </c>
      <c r="H374" s="15"/>
    </row>
    <row r="375" spans="1:8" ht="15" customHeight="1" x14ac:dyDescent="0.15">
      <c r="A375" s="28"/>
      <c r="B375" s="73" t="s">
        <v>603</v>
      </c>
      <c r="C375" s="14" t="s">
        <v>1862</v>
      </c>
      <c r="D375" s="213"/>
      <c r="E375" s="14" t="s">
        <v>1863</v>
      </c>
      <c r="F375" s="141" t="str">
        <f>IF(wskakunin_sekkei6_KENTIKUSI_NO="","",wskakunin_sekkei6_KENTIKUSI_NO)</f>
        <v/>
      </c>
      <c r="H375" s="15"/>
    </row>
    <row r="376" spans="1:8" ht="15" customHeight="1" x14ac:dyDescent="0.15">
      <c r="A376" s="40"/>
      <c r="B376" s="73" t="s">
        <v>92</v>
      </c>
      <c r="C376" s="14" t="s">
        <v>1864</v>
      </c>
      <c r="D376" s="141"/>
      <c r="E376" s="14" t="s">
        <v>1865</v>
      </c>
      <c r="F376" s="141" t="str">
        <f>IF(wskakunin_sekkei6_NAME="", "", wskakunin_sekkei6_NAME)</f>
        <v/>
      </c>
      <c r="H376" s="15"/>
    </row>
    <row r="377" spans="1:8" ht="15" customHeight="1" x14ac:dyDescent="0.15">
      <c r="A377" s="40"/>
      <c r="B377" s="73" t="s">
        <v>608</v>
      </c>
      <c r="C377" s="14" t="s">
        <v>1866</v>
      </c>
      <c r="D377" s="141"/>
      <c r="E377" s="14" t="s">
        <v>1867</v>
      </c>
      <c r="F377" s="141" t="str">
        <f>IF(wskakunin_sekkei6_JIMU__sikaku="", "", wskakunin_sekkei6_JIMU__sikaku)</f>
        <v/>
      </c>
      <c r="H377" s="15"/>
    </row>
    <row r="378" spans="1:8" ht="15" customHeight="1" x14ac:dyDescent="0.15">
      <c r="A378" s="40"/>
      <c r="B378" s="73" t="s">
        <v>93</v>
      </c>
      <c r="C378" s="14" t="s">
        <v>1868</v>
      </c>
      <c r="D378" s="141"/>
      <c r="E378" s="14" t="s">
        <v>1869</v>
      </c>
      <c r="F378" s="141" t="str">
        <f>IF(wskakunin_sekkei6_JIMU_SIKAKU__label="","",wskakunin_sekkei6_JIMU_SIKAKU__label)</f>
        <v/>
      </c>
      <c r="H378" s="15"/>
    </row>
    <row r="379" spans="1:8" ht="15" customHeight="1" x14ac:dyDescent="0.15">
      <c r="A379" s="40"/>
      <c r="B379" s="73" t="s">
        <v>609</v>
      </c>
      <c r="C379" s="14" t="s">
        <v>1870</v>
      </c>
      <c r="D379" s="141"/>
      <c r="E379" s="14" t="s">
        <v>1871</v>
      </c>
      <c r="F379" s="141" t="str">
        <f>IF(wskakunin_sekkei6_JIMU_TOUROKU_KIKAN__label="","",wskakunin_sekkei6_JIMU_TOUROKU_KIKAN__label)</f>
        <v/>
      </c>
      <c r="H379" s="15"/>
    </row>
    <row r="380" spans="1:8" ht="15" customHeight="1" x14ac:dyDescent="0.15">
      <c r="A380" s="40"/>
      <c r="B380" s="73" t="s">
        <v>610</v>
      </c>
      <c r="C380" s="14" t="s">
        <v>1872</v>
      </c>
      <c r="D380" s="213"/>
      <c r="E380" s="14" t="s">
        <v>1873</v>
      </c>
      <c r="F380" s="141" t="str">
        <f>IF(wskakunin_sekkei6_JIMU_NO="","",wskakunin_sekkei6_JIMU_NO)</f>
        <v/>
      </c>
      <c r="H380" s="15"/>
    </row>
    <row r="381" spans="1:8" ht="15" customHeight="1" x14ac:dyDescent="0.15">
      <c r="A381" s="56"/>
      <c r="B381" s="73" t="s">
        <v>94</v>
      </c>
      <c r="C381" s="14" t="s">
        <v>1874</v>
      </c>
      <c r="D381" s="141"/>
      <c r="E381" s="14" t="s">
        <v>1875</v>
      </c>
      <c r="F381" s="141" t="str">
        <f>IF(wskakunin_sekkei6_JIMU_NAME="", "", wskakunin_sekkei6_JIMU_NAME)</f>
        <v/>
      </c>
      <c r="H381" s="15"/>
    </row>
    <row r="382" spans="1:8" ht="15" customHeight="1" x14ac:dyDescent="0.15">
      <c r="A382" s="40"/>
      <c r="B382" s="73" t="s">
        <v>709</v>
      </c>
      <c r="D382" s="30"/>
      <c r="E382" s="14" t="s">
        <v>1876</v>
      </c>
      <c r="F382" s="141" t="str">
        <f>wskakunin_sekkei6_JIMU_NAME&amp;" "&amp;wskakunin_sekkei6_NAME</f>
        <v xml:space="preserve"> </v>
      </c>
      <c r="H382" s="15"/>
    </row>
    <row r="383" spans="1:8" ht="15" customHeight="1" x14ac:dyDescent="0.15">
      <c r="A383" s="56"/>
      <c r="B383" s="73" t="s">
        <v>5</v>
      </c>
      <c r="C383" s="14" t="s">
        <v>1877</v>
      </c>
      <c r="D383" s="213"/>
      <c r="E383" s="14" t="s">
        <v>1878</v>
      </c>
      <c r="F383" s="141" t="str">
        <f>IF(wskakunin_sekkei6_ZIP="", "", wskakunin_sekkei6_ZIP)</f>
        <v/>
      </c>
      <c r="H383" s="15" t="s">
        <v>727</v>
      </c>
    </row>
    <row r="384" spans="1:8" ht="15" customHeight="1" x14ac:dyDescent="0.15">
      <c r="A384" s="56"/>
      <c r="B384" s="73" t="s">
        <v>8</v>
      </c>
      <c r="C384" s="14" t="s">
        <v>1879</v>
      </c>
      <c r="D384" s="141"/>
      <c r="E384" s="14" t="s">
        <v>1880</v>
      </c>
      <c r="F384" s="141" t="str">
        <f>IF(wskakunin_sekkei6__address="", "", wskakunin_sekkei6__address)</f>
        <v/>
      </c>
      <c r="H384" s="15"/>
    </row>
    <row r="385" spans="1:8" ht="15" customHeight="1" x14ac:dyDescent="0.15">
      <c r="A385" s="56"/>
      <c r="B385" s="73" t="s">
        <v>7</v>
      </c>
      <c r="C385" s="14" t="s">
        <v>1881</v>
      </c>
      <c r="D385" s="213"/>
      <c r="E385" s="14" t="s">
        <v>1882</v>
      </c>
      <c r="F385" s="141" t="str">
        <f>IF(wskakunin_sekkei6_TEL="", "", wskakunin_sekkei6_TEL)</f>
        <v/>
      </c>
      <c r="H385" s="15"/>
    </row>
    <row r="386" spans="1:8" ht="15" customHeight="1" x14ac:dyDescent="0.15">
      <c r="A386" s="56"/>
      <c r="B386" s="73" t="s">
        <v>728</v>
      </c>
      <c r="C386" s="14" t="s">
        <v>1883</v>
      </c>
      <c r="D386" s="213"/>
      <c r="E386" s="14" t="s">
        <v>1884</v>
      </c>
      <c r="F386" s="141" t="str">
        <f>IF(wskakunin_sekkei6_DOC="","",wskakunin_sekkei6_DOC)</f>
        <v/>
      </c>
      <c r="H386" s="15"/>
    </row>
    <row r="387" spans="1:8" ht="15" customHeight="1" x14ac:dyDescent="0.15">
      <c r="A387" s="56"/>
      <c r="B387" s="81"/>
      <c r="H387" s="15"/>
    </row>
    <row r="388" spans="1:8" ht="15" customHeight="1" x14ac:dyDescent="0.15">
      <c r="A388" s="1" t="s">
        <v>2032</v>
      </c>
      <c r="B388" s="45"/>
      <c r="H388" s="15"/>
    </row>
    <row r="389" spans="1:8" ht="15" customHeight="1" x14ac:dyDescent="0.15">
      <c r="A389" s="23"/>
      <c r="B389" s="73" t="s">
        <v>606</v>
      </c>
      <c r="C389" s="14" t="s">
        <v>1885</v>
      </c>
      <c r="D389" s="141"/>
      <c r="E389" s="14" t="s">
        <v>1886</v>
      </c>
      <c r="F389" s="141" t="str">
        <f>IF(wskakunin_sekkei7__sikaku="", "", wskakunin_sekkei7__sikaku)</f>
        <v/>
      </c>
      <c r="H389" s="15"/>
    </row>
    <row r="390" spans="1:8" ht="15" customHeight="1" x14ac:dyDescent="0.15">
      <c r="A390" s="28"/>
      <c r="B390" s="73" t="s">
        <v>607</v>
      </c>
      <c r="C390" s="14" t="s">
        <v>1887</v>
      </c>
      <c r="D390" s="141"/>
      <c r="E390" s="14" t="s">
        <v>1888</v>
      </c>
      <c r="F390" s="141" t="str">
        <f>IF(wskakunin_sekkei7_SIKAKU__label="","",wskakunin_sekkei7_SIKAKU__label)</f>
        <v/>
      </c>
      <c r="H390" s="15"/>
    </row>
    <row r="391" spans="1:8" ht="15" customHeight="1" x14ac:dyDescent="0.15">
      <c r="A391" s="28"/>
      <c r="B391" s="73" t="s">
        <v>602</v>
      </c>
      <c r="C391" s="14" t="s">
        <v>1889</v>
      </c>
      <c r="D391" s="141"/>
      <c r="E391" s="14" t="s">
        <v>1890</v>
      </c>
      <c r="F391" s="141" t="str">
        <f>IF(wskakunin_sekkei7_TOUROKU_KIKAN__label="","",wskakunin_sekkei7_TOUROKU_KIKAN__label)</f>
        <v/>
      </c>
      <c r="H391" s="15"/>
    </row>
    <row r="392" spans="1:8" ht="15" customHeight="1" x14ac:dyDescent="0.15">
      <c r="A392" s="28"/>
      <c r="B392" s="73" t="s">
        <v>603</v>
      </c>
      <c r="C392" s="14" t="s">
        <v>1891</v>
      </c>
      <c r="D392" s="213"/>
      <c r="E392" s="14" t="s">
        <v>1892</v>
      </c>
      <c r="F392" s="141" t="str">
        <f>IF(wskakunin_sekkei7_KENTIKUSI_NO="","",wskakunin_sekkei7_KENTIKUSI_NO)</f>
        <v/>
      </c>
      <c r="H392" s="15"/>
    </row>
    <row r="393" spans="1:8" ht="15" customHeight="1" x14ac:dyDescent="0.15">
      <c r="A393" s="40"/>
      <c r="B393" s="73" t="s">
        <v>92</v>
      </c>
      <c r="C393" s="14" t="s">
        <v>1893</v>
      </c>
      <c r="D393" s="141"/>
      <c r="E393" s="14" t="s">
        <v>1894</v>
      </c>
      <c r="F393" s="141" t="str">
        <f>IF(wskakunin_sekkei7_NAME="", "", wskakunin_sekkei7_NAME)</f>
        <v/>
      </c>
      <c r="H393" s="15"/>
    </row>
    <row r="394" spans="1:8" ht="15" customHeight="1" x14ac:dyDescent="0.15">
      <c r="A394" s="40"/>
      <c r="B394" s="73" t="s">
        <v>608</v>
      </c>
      <c r="C394" s="14" t="s">
        <v>1895</v>
      </c>
      <c r="D394" s="141"/>
      <c r="E394" s="14" t="s">
        <v>1896</v>
      </c>
      <c r="F394" s="141" t="str">
        <f>IF(wskakunin_sekkei7_JIMU__sikaku="", "", wskakunin_sekkei7_JIMU__sikaku)</f>
        <v/>
      </c>
      <c r="H394" s="15"/>
    </row>
    <row r="395" spans="1:8" ht="15" customHeight="1" x14ac:dyDescent="0.15">
      <c r="A395" s="40"/>
      <c r="B395" s="73" t="s">
        <v>93</v>
      </c>
      <c r="C395" s="14" t="s">
        <v>1897</v>
      </c>
      <c r="D395" s="141"/>
      <c r="E395" s="14" t="s">
        <v>1898</v>
      </c>
      <c r="F395" s="141" t="str">
        <f>IF(wskakunin_sekkei7_JIMU_SIKAKU__label="","",wskakunin_sekkei7_JIMU_SIKAKU__label)</f>
        <v/>
      </c>
      <c r="H395" s="15"/>
    </row>
    <row r="396" spans="1:8" ht="15" customHeight="1" x14ac:dyDescent="0.15">
      <c r="A396" s="40"/>
      <c r="B396" s="73" t="s">
        <v>609</v>
      </c>
      <c r="C396" s="14" t="s">
        <v>1899</v>
      </c>
      <c r="D396" s="141"/>
      <c r="E396" s="14" t="s">
        <v>1900</v>
      </c>
      <c r="F396" s="141" t="str">
        <f>IF(wskakunin_sekkei7_JIMU_TOUROKU_KIKAN__label="","",wskakunin_sekkei7_JIMU_TOUROKU_KIKAN__label)</f>
        <v/>
      </c>
      <c r="H396" s="15"/>
    </row>
    <row r="397" spans="1:8" ht="15" customHeight="1" x14ac:dyDescent="0.15">
      <c r="A397" s="40"/>
      <c r="B397" s="73" t="s">
        <v>610</v>
      </c>
      <c r="C397" s="14" t="s">
        <v>1901</v>
      </c>
      <c r="D397" s="213"/>
      <c r="E397" s="14" t="s">
        <v>1902</v>
      </c>
      <c r="F397" s="141" t="str">
        <f>IF(wskakunin_sekkei7_JIMU_NO="","",wskakunin_sekkei7_JIMU_NO)</f>
        <v/>
      </c>
      <c r="H397" s="15"/>
    </row>
    <row r="398" spans="1:8" ht="15" customHeight="1" x14ac:dyDescent="0.15">
      <c r="A398" s="56"/>
      <c r="B398" s="73" t="s">
        <v>94</v>
      </c>
      <c r="C398" s="14" t="s">
        <v>1903</v>
      </c>
      <c r="D398" s="141"/>
      <c r="E398" s="14" t="s">
        <v>1904</v>
      </c>
      <c r="F398" s="141" t="str">
        <f>IF(wskakunin_sekkei7_JIMU_NAME="", "", wskakunin_sekkei7_JIMU_NAME)</f>
        <v/>
      </c>
      <c r="H398" s="15"/>
    </row>
    <row r="399" spans="1:8" ht="15" customHeight="1" x14ac:dyDescent="0.15">
      <c r="A399" s="40"/>
      <c r="B399" s="73" t="s">
        <v>709</v>
      </c>
      <c r="D399" s="30"/>
      <c r="E399" s="14" t="s">
        <v>1905</v>
      </c>
      <c r="F399" s="141" t="str">
        <f>wskakunin_sekkei7_JIMU_NAME&amp;" "&amp;wskakunin_sekkei7_NAME</f>
        <v xml:space="preserve"> </v>
      </c>
      <c r="H399" s="15"/>
    </row>
    <row r="400" spans="1:8" ht="15" customHeight="1" x14ac:dyDescent="0.15">
      <c r="A400" s="56"/>
      <c r="B400" s="73" t="s">
        <v>5</v>
      </c>
      <c r="C400" s="14" t="s">
        <v>1906</v>
      </c>
      <c r="D400" s="213"/>
      <c r="E400" s="14" t="s">
        <v>1907</v>
      </c>
      <c r="F400" s="141" t="str">
        <f>IF(wskakunin_sekkei7_ZIP="", "", wskakunin_sekkei7_ZIP)</f>
        <v/>
      </c>
      <c r="H400" s="15" t="s">
        <v>727</v>
      </c>
    </row>
    <row r="401" spans="1:8" ht="15" customHeight="1" x14ac:dyDescent="0.15">
      <c r="A401" s="56"/>
      <c r="B401" s="73" t="s">
        <v>8</v>
      </c>
      <c r="C401" s="14" t="s">
        <v>1908</v>
      </c>
      <c r="D401" s="141"/>
      <c r="E401" s="14" t="s">
        <v>1909</v>
      </c>
      <c r="F401" s="141" t="str">
        <f>IF(wskakunin_sekkei7__address="", "", wskakunin_sekkei7__address)</f>
        <v/>
      </c>
      <c r="H401" s="15"/>
    </row>
    <row r="402" spans="1:8" ht="15" customHeight="1" x14ac:dyDescent="0.15">
      <c r="A402" s="56"/>
      <c r="B402" s="73" t="s">
        <v>7</v>
      </c>
      <c r="C402" s="14" t="s">
        <v>1910</v>
      </c>
      <c r="D402" s="213"/>
      <c r="E402" s="14" t="s">
        <v>1911</v>
      </c>
      <c r="F402" s="141" t="str">
        <f>IF(wskakunin_sekkei7_TEL="", "", wskakunin_sekkei7_TEL)</f>
        <v/>
      </c>
      <c r="H402" s="15"/>
    </row>
    <row r="403" spans="1:8" ht="15" customHeight="1" x14ac:dyDescent="0.15">
      <c r="A403" s="56"/>
      <c r="B403" s="73" t="s">
        <v>728</v>
      </c>
      <c r="C403" s="14" t="s">
        <v>1912</v>
      </c>
      <c r="D403" s="213"/>
      <c r="E403" s="14" t="s">
        <v>1913</v>
      </c>
      <c r="F403" s="141" t="str">
        <f>IF(wskakunin_sekkei7_DOC="","",wskakunin_sekkei7_DOC)</f>
        <v/>
      </c>
      <c r="H403" s="15"/>
    </row>
    <row r="404" spans="1:8" ht="15" customHeight="1" x14ac:dyDescent="0.15">
      <c r="A404" s="56"/>
      <c r="B404" s="81"/>
      <c r="H404" s="15"/>
    </row>
    <row r="405" spans="1:8" ht="15" customHeight="1" x14ac:dyDescent="0.15">
      <c r="A405" s="1" t="s">
        <v>2033</v>
      </c>
      <c r="B405" s="45"/>
      <c r="H405" s="15"/>
    </row>
    <row r="406" spans="1:8" ht="15" customHeight="1" x14ac:dyDescent="0.15">
      <c r="A406" s="23"/>
      <c r="B406" s="73" t="s">
        <v>606</v>
      </c>
      <c r="C406" s="14" t="s">
        <v>1914</v>
      </c>
      <c r="D406" s="141"/>
      <c r="E406" s="14" t="s">
        <v>1915</v>
      </c>
      <c r="F406" s="141" t="str">
        <f>IF(wskakunin_sekkei8__sikaku="", "", wskakunin_sekkei8__sikaku)</f>
        <v/>
      </c>
      <c r="H406" s="15"/>
    </row>
    <row r="407" spans="1:8" ht="15" customHeight="1" x14ac:dyDescent="0.15">
      <c r="A407" s="28"/>
      <c r="B407" s="73" t="s">
        <v>607</v>
      </c>
      <c r="C407" s="14" t="s">
        <v>1916</v>
      </c>
      <c r="D407" s="141"/>
      <c r="E407" s="14" t="s">
        <v>1917</v>
      </c>
      <c r="F407" s="141" t="str">
        <f>IF(wskakunin_sekkei8_SIKAKU__label="","",wskakunin_sekkei8_SIKAKU__label)</f>
        <v/>
      </c>
      <c r="H407" s="15"/>
    </row>
    <row r="408" spans="1:8" ht="15" customHeight="1" x14ac:dyDescent="0.15">
      <c r="A408" s="28"/>
      <c r="B408" s="73" t="s">
        <v>602</v>
      </c>
      <c r="C408" s="14" t="s">
        <v>1918</v>
      </c>
      <c r="D408" s="141"/>
      <c r="E408" s="14" t="s">
        <v>1919</v>
      </c>
      <c r="F408" s="141" t="str">
        <f>IF(wskakunin_sekkei8_TOUROKU_KIKAN__label="","",wskakunin_sekkei8_TOUROKU_KIKAN__label)</f>
        <v/>
      </c>
      <c r="H408" s="15"/>
    </row>
    <row r="409" spans="1:8" ht="15" customHeight="1" x14ac:dyDescent="0.15">
      <c r="A409" s="28"/>
      <c r="B409" s="73" t="s">
        <v>603</v>
      </c>
      <c r="C409" s="14" t="s">
        <v>1920</v>
      </c>
      <c r="D409" s="213"/>
      <c r="E409" s="14" t="s">
        <v>1921</v>
      </c>
      <c r="F409" s="141" t="str">
        <f>IF(wskakunin_sekkei8_KENTIKUSI_NO="","",wskakunin_sekkei8_KENTIKUSI_NO)</f>
        <v/>
      </c>
      <c r="H409" s="15"/>
    </row>
    <row r="410" spans="1:8" ht="15" customHeight="1" x14ac:dyDescent="0.15">
      <c r="A410" s="40"/>
      <c r="B410" s="73" t="s">
        <v>92</v>
      </c>
      <c r="C410" s="14" t="s">
        <v>1922</v>
      </c>
      <c r="D410" s="141"/>
      <c r="E410" s="14" t="s">
        <v>1923</v>
      </c>
      <c r="F410" s="141" t="str">
        <f>IF(wskakunin_sekkei8_NAME="", "", wskakunin_sekkei8_NAME)</f>
        <v/>
      </c>
      <c r="H410" s="15"/>
    </row>
    <row r="411" spans="1:8" ht="15" customHeight="1" x14ac:dyDescent="0.15">
      <c r="A411" s="40"/>
      <c r="B411" s="73" t="s">
        <v>608</v>
      </c>
      <c r="C411" s="14" t="s">
        <v>1924</v>
      </c>
      <c r="D411" s="141"/>
      <c r="E411" s="14" t="s">
        <v>1925</v>
      </c>
      <c r="F411" s="141" t="str">
        <f>IF(wskakunin_sekkei8_JIMU__sikaku="", "", wskakunin_sekkei8_JIMU__sikaku)</f>
        <v/>
      </c>
      <c r="H411" s="15"/>
    </row>
    <row r="412" spans="1:8" ht="15" customHeight="1" x14ac:dyDescent="0.15">
      <c r="A412" s="40"/>
      <c r="B412" s="73" t="s">
        <v>93</v>
      </c>
      <c r="C412" s="14" t="s">
        <v>1926</v>
      </c>
      <c r="D412" s="141"/>
      <c r="E412" s="14" t="s">
        <v>1927</v>
      </c>
      <c r="F412" s="141" t="str">
        <f>IF(wskakunin_sekkei8_JIMU_SIKAKU__label="","",wskakunin_sekkei8_JIMU_SIKAKU__label)</f>
        <v/>
      </c>
      <c r="H412" s="15"/>
    </row>
    <row r="413" spans="1:8" ht="15" customHeight="1" x14ac:dyDescent="0.15">
      <c r="A413" s="40"/>
      <c r="B413" s="73" t="s">
        <v>609</v>
      </c>
      <c r="C413" s="14" t="s">
        <v>1928</v>
      </c>
      <c r="D413" s="141"/>
      <c r="E413" s="14" t="s">
        <v>1929</v>
      </c>
      <c r="F413" s="141" t="str">
        <f>IF(wskakunin_sekkei8_JIMU_TOUROKU_KIKAN__label="","",wskakunin_sekkei8_JIMU_TOUROKU_KIKAN__label)</f>
        <v/>
      </c>
      <c r="H413" s="15"/>
    </row>
    <row r="414" spans="1:8" ht="15" customHeight="1" x14ac:dyDescent="0.15">
      <c r="A414" s="40"/>
      <c r="B414" s="73" t="s">
        <v>610</v>
      </c>
      <c r="C414" s="14" t="s">
        <v>1930</v>
      </c>
      <c r="D414" s="213"/>
      <c r="E414" s="14" t="s">
        <v>1931</v>
      </c>
      <c r="F414" s="141" t="str">
        <f>IF(wskakunin_sekkei8_JIMU_NO="","",wskakunin_sekkei8_JIMU_NO)</f>
        <v/>
      </c>
      <c r="H414" s="15"/>
    </row>
    <row r="415" spans="1:8" ht="15" customHeight="1" x14ac:dyDescent="0.15">
      <c r="A415" s="56"/>
      <c r="B415" s="73" t="s">
        <v>94</v>
      </c>
      <c r="C415" s="14" t="s">
        <v>1932</v>
      </c>
      <c r="D415" s="141"/>
      <c r="E415" s="14" t="s">
        <v>1933</v>
      </c>
      <c r="F415" s="141" t="str">
        <f>IF(wskakunin_sekkei8_JIMU_NAME="", "", wskakunin_sekkei8_JIMU_NAME)</f>
        <v/>
      </c>
      <c r="H415" s="15"/>
    </row>
    <row r="416" spans="1:8" ht="15" customHeight="1" x14ac:dyDescent="0.15">
      <c r="A416" s="40"/>
      <c r="B416" s="73" t="s">
        <v>709</v>
      </c>
      <c r="D416" s="30"/>
      <c r="E416" s="14" t="s">
        <v>1934</v>
      </c>
      <c r="F416" s="141" t="str">
        <f>wskakunin_sekkei8_JIMU_NAME&amp;" "&amp;wskakunin_sekkei8_NAME</f>
        <v xml:space="preserve"> </v>
      </c>
      <c r="H416" s="15"/>
    </row>
    <row r="417" spans="1:8" ht="15" customHeight="1" x14ac:dyDescent="0.15">
      <c r="A417" s="56"/>
      <c r="B417" s="73" t="s">
        <v>5</v>
      </c>
      <c r="C417" s="14" t="s">
        <v>1935</v>
      </c>
      <c r="D417" s="213"/>
      <c r="E417" s="14" t="s">
        <v>1936</v>
      </c>
      <c r="F417" s="141" t="str">
        <f>IF(wskakunin_sekkei8_ZIP="", "", wskakunin_sekkei8_ZIP)</f>
        <v/>
      </c>
      <c r="H417" s="15" t="s">
        <v>727</v>
      </c>
    </row>
    <row r="418" spans="1:8" ht="15" customHeight="1" x14ac:dyDescent="0.15">
      <c r="A418" s="56"/>
      <c r="B418" s="73" t="s">
        <v>8</v>
      </c>
      <c r="C418" s="14" t="s">
        <v>1937</v>
      </c>
      <c r="D418" s="141"/>
      <c r="E418" s="14" t="s">
        <v>1938</v>
      </c>
      <c r="F418" s="141" t="str">
        <f>IF(wskakunin_sekkei8__address="", "", wskakunin_sekkei8__address)</f>
        <v/>
      </c>
      <c r="H418" s="15"/>
    </row>
    <row r="419" spans="1:8" ht="15" customHeight="1" x14ac:dyDescent="0.15">
      <c r="A419" s="56"/>
      <c r="B419" s="73" t="s">
        <v>7</v>
      </c>
      <c r="C419" s="14" t="s">
        <v>1939</v>
      </c>
      <c r="D419" s="213"/>
      <c r="E419" s="14" t="s">
        <v>1940</v>
      </c>
      <c r="F419" s="141" t="str">
        <f>IF(wskakunin_sekkei8_TEL="", "", wskakunin_sekkei8_TEL)</f>
        <v/>
      </c>
      <c r="H419" s="15"/>
    </row>
    <row r="420" spans="1:8" ht="15" customHeight="1" x14ac:dyDescent="0.15">
      <c r="A420" s="56"/>
      <c r="B420" s="73" t="s">
        <v>728</v>
      </c>
      <c r="C420" s="14" t="s">
        <v>1941</v>
      </c>
      <c r="D420" s="213"/>
      <c r="E420" s="14" t="s">
        <v>1942</v>
      </c>
      <c r="F420" s="141" t="str">
        <f>IF(wskakunin_sekkei8_DOC="","",wskakunin_sekkei8_DOC)</f>
        <v/>
      </c>
      <c r="H420" s="15"/>
    </row>
    <row r="421" spans="1:8" ht="15" customHeight="1" x14ac:dyDescent="0.15">
      <c r="A421" s="56"/>
      <c r="B421" s="81"/>
      <c r="H421" s="15"/>
    </row>
    <row r="422" spans="1:8" ht="15" customHeight="1" x14ac:dyDescent="0.15">
      <c r="A422" s="1" t="s">
        <v>2034</v>
      </c>
      <c r="B422" s="45"/>
      <c r="H422" s="15"/>
    </row>
    <row r="423" spans="1:8" ht="15" customHeight="1" x14ac:dyDescent="0.15">
      <c r="A423" s="23"/>
      <c r="B423" s="73" t="s">
        <v>606</v>
      </c>
      <c r="C423" s="14" t="s">
        <v>1943</v>
      </c>
      <c r="D423" s="141"/>
      <c r="E423" s="14" t="s">
        <v>1944</v>
      </c>
      <c r="F423" s="141" t="str">
        <f>IF(wskakunin_sekkei9__sikaku="", "", wskakunin_sekkei9__sikaku)</f>
        <v/>
      </c>
      <c r="H423" s="15"/>
    </row>
    <row r="424" spans="1:8" ht="15" customHeight="1" x14ac:dyDescent="0.15">
      <c r="A424" s="28"/>
      <c r="B424" s="73" t="s">
        <v>607</v>
      </c>
      <c r="C424" s="14" t="s">
        <v>1945</v>
      </c>
      <c r="D424" s="141"/>
      <c r="E424" s="14" t="s">
        <v>1946</v>
      </c>
      <c r="F424" s="141" t="str">
        <f>IF(wskakunin_sekkei9_SIKAKU__label="","",wskakunin_sekkei9_SIKAKU__label)</f>
        <v/>
      </c>
      <c r="H424" s="15"/>
    </row>
    <row r="425" spans="1:8" ht="15" customHeight="1" x14ac:dyDescent="0.15">
      <c r="A425" s="28"/>
      <c r="B425" s="73" t="s">
        <v>602</v>
      </c>
      <c r="C425" s="14" t="s">
        <v>1947</v>
      </c>
      <c r="D425" s="141"/>
      <c r="E425" s="14" t="s">
        <v>1948</v>
      </c>
      <c r="F425" s="141" t="str">
        <f>IF(wskakunin_sekkei9_TOUROKU_KIKAN__label="","",wskakunin_sekkei9_TOUROKU_KIKAN__label)</f>
        <v/>
      </c>
      <c r="H425" s="15"/>
    </row>
    <row r="426" spans="1:8" ht="15" customHeight="1" x14ac:dyDescent="0.15">
      <c r="A426" s="28"/>
      <c r="B426" s="73" t="s">
        <v>603</v>
      </c>
      <c r="C426" s="14" t="s">
        <v>1949</v>
      </c>
      <c r="D426" s="213"/>
      <c r="E426" s="14" t="s">
        <v>1950</v>
      </c>
      <c r="F426" s="141" t="str">
        <f>IF(wskakunin_sekkei9_KENTIKUSI_NO="","",wskakunin_sekkei9_KENTIKUSI_NO)</f>
        <v/>
      </c>
      <c r="H426" s="15"/>
    </row>
    <row r="427" spans="1:8" ht="15" customHeight="1" x14ac:dyDescent="0.15">
      <c r="A427" s="40"/>
      <c r="B427" s="73" t="s">
        <v>92</v>
      </c>
      <c r="C427" s="14" t="s">
        <v>1951</v>
      </c>
      <c r="D427" s="141"/>
      <c r="E427" s="14" t="s">
        <v>1952</v>
      </c>
      <c r="F427" s="141" t="str">
        <f>IF(wskakunin_sekkei9_NAME="", "", wskakunin_sekkei9_NAME)</f>
        <v/>
      </c>
      <c r="H427" s="15"/>
    </row>
    <row r="428" spans="1:8" ht="15" customHeight="1" x14ac:dyDescent="0.15">
      <c r="A428" s="40"/>
      <c r="B428" s="73" t="s">
        <v>608</v>
      </c>
      <c r="C428" s="14" t="s">
        <v>1953</v>
      </c>
      <c r="D428" s="141"/>
      <c r="E428" s="14" t="s">
        <v>1954</v>
      </c>
      <c r="F428" s="141" t="str">
        <f>IF(wskakunin_sekkei9_JIMU__sikaku="", "", wskakunin_sekkei9_JIMU__sikaku)</f>
        <v/>
      </c>
      <c r="H428" s="15"/>
    </row>
    <row r="429" spans="1:8" ht="15" customHeight="1" x14ac:dyDescent="0.15">
      <c r="A429" s="40"/>
      <c r="B429" s="73" t="s">
        <v>93</v>
      </c>
      <c r="C429" s="14" t="s">
        <v>1955</v>
      </c>
      <c r="D429" s="141"/>
      <c r="E429" s="14" t="s">
        <v>1956</v>
      </c>
      <c r="F429" s="141" t="str">
        <f>IF(wskakunin_sekkei9_JIMU_SIKAKU__label="","",wskakunin_sekkei9_JIMU_SIKAKU__label)</f>
        <v/>
      </c>
      <c r="H429" s="15"/>
    </row>
    <row r="430" spans="1:8" ht="15" customHeight="1" x14ac:dyDescent="0.15">
      <c r="A430" s="40"/>
      <c r="B430" s="73" t="s">
        <v>609</v>
      </c>
      <c r="C430" s="14" t="s">
        <v>1957</v>
      </c>
      <c r="D430" s="141"/>
      <c r="E430" s="14" t="s">
        <v>1958</v>
      </c>
      <c r="F430" s="141" t="str">
        <f>IF(wskakunin_sekkei9_JIMU_TOUROKU_KIKAN__label="","",wskakunin_sekkei9_JIMU_TOUROKU_KIKAN__label)</f>
        <v/>
      </c>
      <c r="H430" s="15"/>
    </row>
    <row r="431" spans="1:8" ht="15" customHeight="1" x14ac:dyDescent="0.15">
      <c r="A431" s="40"/>
      <c r="B431" s="73" t="s">
        <v>610</v>
      </c>
      <c r="C431" s="14" t="s">
        <v>1959</v>
      </c>
      <c r="D431" s="213"/>
      <c r="E431" s="14" t="s">
        <v>1960</v>
      </c>
      <c r="F431" s="141" t="str">
        <f>IF(wskakunin_sekkei9_JIMU_NO="","",wskakunin_sekkei9_JIMU_NO)</f>
        <v/>
      </c>
      <c r="H431" s="15"/>
    </row>
    <row r="432" spans="1:8" ht="15" customHeight="1" x14ac:dyDescent="0.15">
      <c r="A432" s="56"/>
      <c r="B432" s="73" t="s">
        <v>94</v>
      </c>
      <c r="C432" s="14" t="s">
        <v>1961</v>
      </c>
      <c r="D432" s="141"/>
      <c r="E432" s="14" t="s">
        <v>1962</v>
      </c>
      <c r="F432" s="141" t="str">
        <f>IF(wskakunin_sekkei9_JIMU_NAME="", "", wskakunin_sekkei9_JIMU_NAME)</f>
        <v/>
      </c>
      <c r="H432" s="15"/>
    </row>
    <row r="433" spans="1:8" ht="15" customHeight="1" x14ac:dyDescent="0.15">
      <c r="A433" s="40"/>
      <c r="B433" s="73" t="s">
        <v>709</v>
      </c>
      <c r="D433" s="30"/>
      <c r="E433" s="14" t="s">
        <v>1963</v>
      </c>
      <c r="F433" s="141" t="str">
        <f>wskakunin_sekkei9_JIMU_NAME&amp;" "&amp;wskakunin_sekkei9_NAME</f>
        <v xml:space="preserve"> </v>
      </c>
      <c r="H433" s="15"/>
    </row>
    <row r="434" spans="1:8" ht="15" customHeight="1" x14ac:dyDescent="0.15">
      <c r="A434" s="56"/>
      <c r="B434" s="73" t="s">
        <v>5</v>
      </c>
      <c r="C434" s="14" t="s">
        <v>1964</v>
      </c>
      <c r="D434" s="213"/>
      <c r="E434" s="14" t="s">
        <v>1965</v>
      </c>
      <c r="F434" s="141" t="str">
        <f>IF(wskakunin_sekkei9_ZIP="", "", wskakunin_sekkei9_ZIP)</f>
        <v/>
      </c>
      <c r="H434" s="15" t="s">
        <v>727</v>
      </c>
    </row>
    <row r="435" spans="1:8" ht="15" customHeight="1" x14ac:dyDescent="0.15">
      <c r="A435" s="56"/>
      <c r="B435" s="73" t="s">
        <v>8</v>
      </c>
      <c r="C435" s="14" t="s">
        <v>1966</v>
      </c>
      <c r="D435" s="141"/>
      <c r="E435" s="14" t="s">
        <v>1967</v>
      </c>
      <c r="F435" s="141" t="str">
        <f>IF(wskakunin_sekkei9__address="", "", wskakunin_sekkei9__address)</f>
        <v/>
      </c>
      <c r="H435" s="15"/>
    </row>
    <row r="436" spans="1:8" ht="15" customHeight="1" x14ac:dyDescent="0.15">
      <c r="A436" s="56"/>
      <c r="B436" s="73" t="s">
        <v>7</v>
      </c>
      <c r="C436" s="14" t="s">
        <v>1968</v>
      </c>
      <c r="D436" s="213"/>
      <c r="E436" s="14" t="s">
        <v>1969</v>
      </c>
      <c r="F436" s="141" t="str">
        <f>IF(wskakunin_sekkei9_TEL="", "", wskakunin_sekkei9_TEL)</f>
        <v/>
      </c>
      <c r="H436" s="15"/>
    </row>
    <row r="437" spans="1:8" ht="15" customHeight="1" x14ac:dyDescent="0.15">
      <c r="A437" s="56"/>
      <c r="B437" s="73" t="s">
        <v>728</v>
      </c>
      <c r="C437" s="14" t="s">
        <v>1970</v>
      </c>
      <c r="D437" s="213"/>
      <c r="E437" s="14" t="s">
        <v>1971</v>
      </c>
      <c r="F437" s="141" t="str">
        <f>IF(wskakunin_sekkei9_DOC="","",wskakunin_sekkei9_DOC)</f>
        <v/>
      </c>
      <c r="H437" s="15"/>
    </row>
    <row r="438" spans="1:8" ht="15" customHeight="1" x14ac:dyDescent="0.15">
      <c r="A438" s="56"/>
      <c r="B438" s="81"/>
      <c r="H438" s="15"/>
    </row>
    <row r="439" spans="1:8" ht="15" customHeight="1" x14ac:dyDescent="0.15">
      <c r="A439" s="1" t="s">
        <v>2035</v>
      </c>
      <c r="B439" s="45"/>
      <c r="H439" s="15"/>
    </row>
    <row r="440" spans="1:8" ht="15" customHeight="1" x14ac:dyDescent="0.15">
      <c r="A440" s="23"/>
      <c r="B440" s="73" t="s">
        <v>606</v>
      </c>
      <c r="C440" s="14" t="s">
        <v>1972</v>
      </c>
      <c r="D440" s="141"/>
      <c r="E440" s="14" t="s">
        <v>1973</v>
      </c>
      <c r="F440" s="141" t="str">
        <f>IF(wskakunin_sekkei10__sikaku="", "", wskakunin_sekkei10__sikaku)</f>
        <v/>
      </c>
      <c r="H440" s="15"/>
    </row>
    <row r="441" spans="1:8" ht="15" customHeight="1" x14ac:dyDescent="0.15">
      <c r="A441" s="28"/>
      <c r="B441" s="73" t="s">
        <v>607</v>
      </c>
      <c r="C441" s="14" t="s">
        <v>1974</v>
      </c>
      <c r="D441" s="141"/>
      <c r="E441" s="14" t="s">
        <v>1975</v>
      </c>
      <c r="F441" s="141" t="str">
        <f>IF(wskakunin_sekkei10_SIKAKU__label="","",wskakunin_sekkei10_SIKAKU__label)</f>
        <v/>
      </c>
      <c r="H441" s="15"/>
    </row>
    <row r="442" spans="1:8" ht="15" customHeight="1" x14ac:dyDescent="0.15">
      <c r="A442" s="28"/>
      <c r="B442" s="73" t="s">
        <v>602</v>
      </c>
      <c r="C442" s="14" t="s">
        <v>1976</v>
      </c>
      <c r="D442" s="141"/>
      <c r="E442" s="14" t="s">
        <v>1977</v>
      </c>
      <c r="F442" s="141" t="str">
        <f>IF(wskakunin_sekkei10_TOUROKU_KIKAN__label="","",wskakunin_sekkei10_TOUROKU_KIKAN__label)</f>
        <v/>
      </c>
      <c r="H442" s="15"/>
    </row>
    <row r="443" spans="1:8" ht="15" customHeight="1" x14ac:dyDescent="0.15">
      <c r="A443" s="28"/>
      <c r="B443" s="73" t="s">
        <v>603</v>
      </c>
      <c r="C443" s="14" t="s">
        <v>1978</v>
      </c>
      <c r="D443" s="213"/>
      <c r="E443" s="14" t="s">
        <v>1979</v>
      </c>
      <c r="F443" s="141" t="str">
        <f>IF(wskakunin_sekkei10_KENTIKUSI_NO="","",wskakunin_sekkei10_KENTIKUSI_NO)</f>
        <v/>
      </c>
      <c r="H443" s="15"/>
    </row>
    <row r="444" spans="1:8" ht="15" customHeight="1" x14ac:dyDescent="0.15">
      <c r="A444" s="40"/>
      <c r="B444" s="73" t="s">
        <v>92</v>
      </c>
      <c r="C444" s="14" t="s">
        <v>1980</v>
      </c>
      <c r="D444" s="141"/>
      <c r="E444" s="14" t="s">
        <v>1981</v>
      </c>
      <c r="F444" s="141" t="str">
        <f>IF(wskakunin_sekkei10_NAME="", "", wskakunin_sekkei10_NAME)</f>
        <v/>
      </c>
      <c r="H444" s="15"/>
    </row>
    <row r="445" spans="1:8" ht="15" customHeight="1" x14ac:dyDescent="0.15">
      <c r="A445" s="40"/>
      <c r="B445" s="73" t="s">
        <v>608</v>
      </c>
      <c r="C445" s="14" t="s">
        <v>1982</v>
      </c>
      <c r="D445" s="141"/>
      <c r="E445" s="14" t="s">
        <v>1983</v>
      </c>
      <c r="F445" s="141" t="str">
        <f>IF(wskakunin_sekkei10_JIMU__sikaku="", "", wskakunin_sekkei10_JIMU__sikaku)</f>
        <v/>
      </c>
      <c r="H445" s="15"/>
    </row>
    <row r="446" spans="1:8" ht="15" customHeight="1" x14ac:dyDescent="0.15">
      <c r="A446" s="40"/>
      <c r="B446" s="73" t="s">
        <v>93</v>
      </c>
      <c r="C446" s="14" t="s">
        <v>1984</v>
      </c>
      <c r="D446" s="141"/>
      <c r="E446" s="14" t="s">
        <v>1985</v>
      </c>
      <c r="F446" s="141" t="str">
        <f>IF(wskakunin_sekkei10_JIMU_SIKAKU__label="","",wskakunin_sekkei10_JIMU_SIKAKU__label)</f>
        <v/>
      </c>
      <c r="H446" s="15"/>
    </row>
    <row r="447" spans="1:8" ht="15" customHeight="1" x14ac:dyDescent="0.15">
      <c r="A447" s="40"/>
      <c r="B447" s="73" t="s">
        <v>609</v>
      </c>
      <c r="C447" s="14" t="s">
        <v>1986</v>
      </c>
      <c r="D447" s="141"/>
      <c r="E447" s="14" t="s">
        <v>1987</v>
      </c>
      <c r="F447" s="141" t="str">
        <f>IF(wskakunin_sekkei10_JIMU_TOUROKU_KIKAN__label="","",wskakunin_sekkei10_JIMU_TOUROKU_KIKAN__label)</f>
        <v/>
      </c>
      <c r="H447" s="15"/>
    </row>
    <row r="448" spans="1:8" ht="15" customHeight="1" x14ac:dyDescent="0.15">
      <c r="A448" s="40"/>
      <c r="B448" s="73" t="s">
        <v>610</v>
      </c>
      <c r="C448" s="14" t="s">
        <v>1988</v>
      </c>
      <c r="D448" s="213"/>
      <c r="E448" s="14" t="s">
        <v>1989</v>
      </c>
      <c r="F448" s="141" t="str">
        <f>IF(wskakunin_sekkei10_JIMU_NO="","",wskakunin_sekkei10_JIMU_NO)</f>
        <v/>
      </c>
      <c r="H448" s="15"/>
    </row>
    <row r="449" spans="1:8" ht="15" customHeight="1" x14ac:dyDescent="0.15">
      <c r="A449" s="56"/>
      <c r="B449" s="73" t="s">
        <v>94</v>
      </c>
      <c r="C449" s="14" t="s">
        <v>1990</v>
      </c>
      <c r="D449" s="141"/>
      <c r="E449" s="14" t="s">
        <v>1991</v>
      </c>
      <c r="F449" s="141" t="str">
        <f>IF(wskakunin_sekkei10_JIMU_NAME="", "", wskakunin_sekkei10_JIMU_NAME)</f>
        <v/>
      </c>
      <c r="H449" s="15"/>
    </row>
    <row r="450" spans="1:8" ht="15" customHeight="1" x14ac:dyDescent="0.15">
      <c r="A450" s="40"/>
      <c r="B450" s="73" t="s">
        <v>709</v>
      </c>
      <c r="D450" s="30"/>
      <c r="E450" s="14" t="s">
        <v>1992</v>
      </c>
      <c r="F450" s="141" t="str">
        <f>wskakunin_sekkei10_JIMU_NAME&amp;" "&amp;wskakunin_sekkei10_NAME</f>
        <v xml:space="preserve"> </v>
      </c>
      <c r="H450" s="15"/>
    </row>
    <row r="451" spans="1:8" ht="15" customHeight="1" x14ac:dyDescent="0.15">
      <c r="A451" s="56"/>
      <c r="B451" s="73" t="s">
        <v>5</v>
      </c>
      <c r="C451" s="14" t="s">
        <v>1993</v>
      </c>
      <c r="D451" s="213"/>
      <c r="E451" s="14" t="s">
        <v>1994</v>
      </c>
      <c r="F451" s="141" t="str">
        <f>IF(wskakunin_sekkei10_ZIP="", "", wskakunin_sekkei10_ZIP)</f>
        <v/>
      </c>
      <c r="H451" s="15" t="s">
        <v>727</v>
      </c>
    </row>
    <row r="452" spans="1:8" ht="15" customHeight="1" x14ac:dyDescent="0.15">
      <c r="A452" s="56"/>
      <c r="B452" s="73" t="s">
        <v>8</v>
      </c>
      <c r="C452" s="14" t="s">
        <v>1995</v>
      </c>
      <c r="D452" s="141"/>
      <c r="E452" s="14" t="s">
        <v>1996</v>
      </c>
      <c r="F452" s="141" t="str">
        <f>IF(wskakunin_sekkei10__address="", "", wskakunin_sekkei10__address)</f>
        <v/>
      </c>
      <c r="H452" s="15"/>
    </row>
    <row r="453" spans="1:8" ht="15" customHeight="1" x14ac:dyDescent="0.15">
      <c r="A453" s="56"/>
      <c r="B453" s="73" t="s">
        <v>7</v>
      </c>
      <c r="C453" s="14" t="s">
        <v>1997</v>
      </c>
      <c r="D453" s="213"/>
      <c r="E453" s="14" t="s">
        <v>1998</v>
      </c>
      <c r="F453" s="141" t="str">
        <f>IF(wskakunin_sekkei10_TEL="", "", wskakunin_sekkei10_TEL)</f>
        <v/>
      </c>
      <c r="H453" s="15"/>
    </row>
    <row r="454" spans="1:8" ht="15" customHeight="1" x14ac:dyDescent="0.15">
      <c r="A454" s="56"/>
      <c r="B454" s="73" t="s">
        <v>728</v>
      </c>
      <c r="C454" s="14" t="s">
        <v>1999</v>
      </c>
      <c r="D454" s="213"/>
      <c r="E454" s="14" t="s">
        <v>2000</v>
      </c>
      <c r="F454" s="141" t="str">
        <f>IF(wskakunin_sekkei10_DOC="","",wskakunin_sekkei10_DOC)</f>
        <v/>
      </c>
      <c r="H454" s="15"/>
    </row>
    <row r="455" spans="1:8" ht="15" customHeight="1" x14ac:dyDescent="0.15">
      <c r="A455" s="56"/>
      <c r="B455" s="81"/>
      <c r="H455" s="15"/>
    </row>
    <row r="456" spans="1:8" ht="15" customHeight="1" x14ac:dyDescent="0.15">
      <c r="A456" s="1" t="s">
        <v>2030</v>
      </c>
      <c r="B456" s="45"/>
      <c r="H456" s="15"/>
    </row>
    <row r="457" spans="1:8" ht="15" customHeight="1" x14ac:dyDescent="0.15">
      <c r="A457" s="23"/>
      <c r="B457" s="73" t="s">
        <v>606</v>
      </c>
      <c r="C457" s="14" t="s">
        <v>2001</v>
      </c>
      <c r="D457" s="141"/>
      <c r="E457" s="14" t="s">
        <v>2002</v>
      </c>
      <c r="F457" s="141" t="str">
        <f>IF(wskakunin_sekkei11__sikaku="", "", wskakunin_sekkei11__sikaku)</f>
        <v/>
      </c>
      <c r="H457" s="15"/>
    </row>
    <row r="458" spans="1:8" ht="15" customHeight="1" x14ac:dyDescent="0.15">
      <c r="A458" s="28"/>
      <c r="B458" s="73" t="s">
        <v>607</v>
      </c>
      <c r="C458" s="14" t="s">
        <v>2003</v>
      </c>
      <c r="D458" s="141"/>
      <c r="E458" s="14" t="s">
        <v>2004</v>
      </c>
      <c r="F458" s="141" t="str">
        <f>IF(wskakunin_sekkei11_SIKAKU__label="","",wskakunin_sekkei11_SIKAKU__label)</f>
        <v/>
      </c>
      <c r="H458" s="15"/>
    </row>
    <row r="459" spans="1:8" ht="15" customHeight="1" x14ac:dyDescent="0.15">
      <c r="A459" s="28"/>
      <c r="B459" s="73" t="s">
        <v>602</v>
      </c>
      <c r="C459" s="14" t="s">
        <v>2005</v>
      </c>
      <c r="D459" s="141"/>
      <c r="E459" s="14" t="s">
        <v>2006</v>
      </c>
      <c r="F459" s="141" t="str">
        <f>IF(wskakunin_sekkei11_TOUROKU_KIKAN__label="","",wskakunin_sekkei11_TOUROKU_KIKAN__label)</f>
        <v/>
      </c>
      <c r="H459" s="15"/>
    </row>
    <row r="460" spans="1:8" ht="15" customHeight="1" x14ac:dyDescent="0.15">
      <c r="A460" s="28"/>
      <c r="B460" s="73" t="s">
        <v>603</v>
      </c>
      <c r="C460" s="14" t="s">
        <v>2007</v>
      </c>
      <c r="D460" s="213"/>
      <c r="E460" s="14" t="s">
        <v>2008</v>
      </c>
      <c r="F460" s="141" t="str">
        <f>IF(wskakunin_sekkei11_KENTIKUSI_NO="","",wskakunin_sekkei11_KENTIKUSI_NO)</f>
        <v/>
      </c>
      <c r="H460" s="15"/>
    </row>
    <row r="461" spans="1:8" ht="15" customHeight="1" x14ac:dyDescent="0.15">
      <c r="A461" s="40"/>
      <c r="B461" s="73" t="s">
        <v>92</v>
      </c>
      <c r="C461" s="14" t="s">
        <v>2009</v>
      </c>
      <c r="D461" s="141"/>
      <c r="E461" s="14" t="s">
        <v>2010</v>
      </c>
      <c r="F461" s="141" t="str">
        <f>IF(wskakunin_sekkei11_NAME="", "", wskakunin_sekkei11_NAME)</f>
        <v/>
      </c>
      <c r="H461" s="15"/>
    </row>
    <row r="462" spans="1:8" ht="15" customHeight="1" x14ac:dyDescent="0.15">
      <c r="A462" s="40"/>
      <c r="B462" s="73" t="s">
        <v>608</v>
      </c>
      <c r="C462" s="14" t="s">
        <v>2011</v>
      </c>
      <c r="D462" s="141"/>
      <c r="E462" s="14" t="s">
        <v>2012</v>
      </c>
      <c r="F462" s="141" t="str">
        <f>IF(wskakunin_sekkei11_JIMU__sikaku="", "", wskakunin_sekkei11_JIMU__sikaku)</f>
        <v/>
      </c>
      <c r="H462" s="15"/>
    </row>
    <row r="463" spans="1:8" ht="15" customHeight="1" x14ac:dyDescent="0.15">
      <c r="A463" s="40"/>
      <c r="B463" s="73" t="s">
        <v>93</v>
      </c>
      <c r="C463" s="14" t="s">
        <v>2013</v>
      </c>
      <c r="D463" s="141"/>
      <c r="E463" s="14" t="s">
        <v>2014</v>
      </c>
      <c r="F463" s="141" t="str">
        <f>IF(wskakunin_sekkei11_JIMU_SIKAKU__label="","",wskakunin_sekkei11_JIMU_SIKAKU__label)</f>
        <v/>
      </c>
      <c r="H463" s="15"/>
    </row>
    <row r="464" spans="1:8" ht="15" customHeight="1" x14ac:dyDescent="0.15">
      <c r="A464" s="40"/>
      <c r="B464" s="73" t="s">
        <v>609</v>
      </c>
      <c r="C464" s="14" t="s">
        <v>2015</v>
      </c>
      <c r="D464" s="141"/>
      <c r="E464" s="14" t="s">
        <v>2016</v>
      </c>
      <c r="F464" s="141" t="str">
        <f>IF(wskakunin_sekkei11_JIMU_TOUROKU_KIKAN__label="","",wskakunin_sekkei11_JIMU_TOUROKU_KIKAN__label)</f>
        <v/>
      </c>
      <c r="H464" s="15"/>
    </row>
    <row r="465" spans="1:8" ht="15" customHeight="1" x14ac:dyDescent="0.15">
      <c r="A465" s="40"/>
      <c r="B465" s="73" t="s">
        <v>610</v>
      </c>
      <c r="C465" s="14" t="s">
        <v>2017</v>
      </c>
      <c r="D465" s="213"/>
      <c r="E465" s="14" t="s">
        <v>2018</v>
      </c>
      <c r="F465" s="141" t="str">
        <f>IF(wskakunin_sekkei11_JIMU_NO="","",wskakunin_sekkei11_JIMU_NO)</f>
        <v/>
      </c>
      <c r="H465" s="15"/>
    </row>
    <row r="466" spans="1:8" ht="15" customHeight="1" x14ac:dyDescent="0.15">
      <c r="A466" s="56"/>
      <c r="B466" s="73" t="s">
        <v>94</v>
      </c>
      <c r="C466" s="14" t="s">
        <v>2019</v>
      </c>
      <c r="D466" s="141"/>
      <c r="E466" s="14" t="s">
        <v>2020</v>
      </c>
      <c r="F466" s="141" t="str">
        <f>IF(wskakunin_sekkei11_JIMU_NAME="", "", wskakunin_sekkei11_JIMU_NAME)</f>
        <v/>
      </c>
      <c r="H466" s="15"/>
    </row>
    <row r="467" spans="1:8" ht="15" customHeight="1" x14ac:dyDescent="0.15">
      <c r="A467" s="40"/>
      <c r="B467" s="73" t="s">
        <v>709</v>
      </c>
      <c r="D467" s="30"/>
      <c r="E467" s="14" t="s">
        <v>2021</v>
      </c>
      <c r="F467" s="141" t="str">
        <f>wskakunin_sekkei11_JIMU_NAME&amp;" "&amp;wskakunin_sekkei11_NAME</f>
        <v xml:space="preserve"> </v>
      </c>
      <c r="H467" s="15"/>
    </row>
    <row r="468" spans="1:8" ht="15" customHeight="1" x14ac:dyDescent="0.15">
      <c r="A468" s="56"/>
      <c r="B468" s="73" t="s">
        <v>5</v>
      </c>
      <c r="C468" s="14" t="s">
        <v>2022</v>
      </c>
      <c r="D468" s="213"/>
      <c r="E468" s="14" t="s">
        <v>2023</v>
      </c>
      <c r="F468" s="141" t="str">
        <f>IF(wskakunin_sekkei11_ZIP="", "", wskakunin_sekkei11_ZIP)</f>
        <v/>
      </c>
      <c r="H468" s="15" t="s">
        <v>727</v>
      </c>
    </row>
    <row r="469" spans="1:8" ht="15" customHeight="1" x14ac:dyDescent="0.15">
      <c r="A469" s="56"/>
      <c r="B469" s="73" t="s">
        <v>8</v>
      </c>
      <c r="C469" s="14" t="s">
        <v>2024</v>
      </c>
      <c r="D469" s="141"/>
      <c r="E469" s="14" t="s">
        <v>2025</v>
      </c>
      <c r="F469" s="141" t="str">
        <f>IF(wskakunin_sekkei11__address="", "", wskakunin_sekkei11__address)</f>
        <v/>
      </c>
      <c r="H469" s="15"/>
    </row>
    <row r="470" spans="1:8" ht="15" customHeight="1" x14ac:dyDescent="0.15">
      <c r="A470" s="56"/>
      <c r="B470" s="73" t="s">
        <v>7</v>
      </c>
      <c r="C470" s="14" t="s">
        <v>2026</v>
      </c>
      <c r="D470" s="213"/>
      <c r="E470" s="14" t="s">
        <v>2027</v>
      </c>
      <c r="F470" s="141" t="str">
        <f>IF(wskakunin_sekkei11_TEL="", "", wskakunin_sekkei11_TEL)</f>
        <v/>
      </c>
      <c r="H470" s="15"/>
    </row>
    <row r="471" spans="1:8" ht="15" customHeight="1" x14ac:dyDescent="0.15">
      <c r="A471" s="56"/>
      <c r="B471" s="73" t="s">
        <v>728</v>
      </c>
      <c r="C471" s="14" t="s">
        <v>2028</v>
      </c>
      <c r="D471" s="213"/>
      <c r="E471" s="14" t="s">
        <v>2029</v>
      </c>
      <c r="F471" s="141" t="str">
        <f>IF(wskakunin_sekkei11_DOC="","",wskakunin_sekkei11_DOC)</f>
        <v/>
      </c>
      <c r="H471" s="15"/>
    </row>
    <row r="472" spans="1:8" ht="15" customHeight="1" x14ac:dyDescent="0.15">
      <c r="A472" s="56"/>
      <c r="B472" s="81"/>
      <c r="G472" s="15"/>
      <c r="H472" s="15"/>
    </row>
    <row r="473" spans="1:8" ht="15" customHeight="1" x14ac:dyDescent="0.15">
      <c r="A473" s="1" t="s">
        <v>2357</v>
      </c>
      <c r="B473" s="45"/>
      <c r="H473" s="15"/>
    </row>
    <row r="474" spans="1:8" ht="15" customHeight="1" x14ac:dyDescent="0.15">
      <c r="A474" s="23"/>
      <c r="B474" s="73" t="s">
        <v>606</v>
      </c>
      <c r="C474" s="14" t="s">
        <v>2328</v>
      </c>
      <c r="D474" s="141"/>
      <c r="E474" s="14" t="s">
        <v>2329</v>
      </c>
      <c r="F474" s="141" t="str">
        <f>IF(wskakunin_sekkei12__sikaku="", "", wskakunin_sekkei12__sikaku)</f>
        <v/>
      </c>
      <c r="H474" s="15"/>
    </row>
    <row r="475" spans="1:8" ht="15" customHeight="1" x14ac:dyDescent="0.15">
      <c r="A475" s="28"/>
      <c r="B475" s="73" t="s">
        <v>607</v>
      </c>
      <c r="C475" s="14" t="s">
        <v>2330</v>
      </c>
      <c r="D475" s="141"/>
      <c r="E475" s="14" t="s">
        <v>2331</v>
      </c>
      <c r="F475" s="141" t="str">
        <f>IF(wskakunin_sekkei12_SIKAKU__label="","",wskakunin_sekkei12_SIKAKU__label)</f>
        <v/>
      </c>
      <c r="H475" s="15"/>
    </row>
    <row r="476" spans="1:8" ht="15" customHeight="1" x14ac:dyDescent="0.15">
      <c r="A476" s="28"/>
      <c r="B476" s="73" t="s">
        <v>602</v>
      </c>
      <c r="C476" s="14" t="s">
        <v>2332</v>
      </c>
      <c r="D476" s="141"/>
      <c r="E476" s="14" t="s">
        <v>2333</v>
      </c>
      <c r="F476" s="141" t="str">
        <f>IF(wskakunin_sekkei12_TOUROKU_KIKAN__label="","",wskakunin_sekkei12_TOUROKU_KIKAN__label)</f>
        <v/>
      </c>
      <c r="H476" s="15"/>
    </row>
    <row r="477" spans="1:8" ht="15" customHeight="1" x14ac:dyDescent="0.15">
      <c r="A477" s="28"/>
      <c r="B477" s="73" t="s">
        <v>603</v>
      </c>
      <c r="C477" s="14" t="s">
        <v>2334</v>
      </c>
      <c r="D477" s="213"/>
      <c r="E477" s="14" t="s">
        <v>2335</v>
      </c>
      <c r="F477" s="141" t="str">
        <f>IF(wskakunin_sekkei12_KENTIKUSI_NO="","",wskakunin_sekkei12_KENTIKUSI_NO)</f>
        <v/>
      </c>
      <c r="H477" s="15"/>
    </row>
    <row r="478" spans="1:8" ht="15" customHeight="1" x14ac:dyDescent="0.15">
      <c r="A478" s="40"/>
      <c r="B478" s="73" t="s">
        <v>92</v>
      </c>
      <c r="C478" s="14" t="s">
        <v>2336</v>
      </c>
      <c r="D478" s="141"/>
      <c r="E478" s="14" t="s">
        <v>2337</v>
      </c>
      <c r="F478" s="141" t="str">
        <f>IF(wskakunin_sekkei12_NAME="", "", wskakunin_sekkei12_NAME)</f>
        <v/>
      </c>
      <c r="H478" s="15"/>
    </row>
    <row r="479" spans="1:8" ht="15" customHeight="1" x14ac:dyDescent="0.15">
      <c r="A479" s="40"/>
      <c r="B479" s="73" t="s">
        <v>608</v>
      </c>
      <c r="C479" s="14" t="s">
        <v>2338</v>
      </c>
      <c r="D479" s="141"/>
      <c r="E479" s="14" t="s">
        <v>2339</v>
      </c>
      <c r="F479" s="141" t="str">
        <f>IF(wskakunin_sekkei12_JIMU__sikaku="", "", wskakunin_sekkei12_JIMU__sikaku)</f>
        <v/>
      </c>
      <c r="H479" s="15"/>
    </row>
    <row r="480" spans="1:8" ht="15" customHeight="1" x14ac:dyDescent="0.15">
      <c r="A480" s="40"/>
      <c r="B480" s="73" t="s">
        <v>93</v>
      </c>
      <c r="C480" s="14" t="s">
        <v>2340</v>
      </c>
      <c r="D480" s="141"/>
      <c r="E480" s="14" t="s">
        <v>2341</v>
      </c>
      <c r="F480" s="141" t="str">
        <f>IF(wskakunin_sekkei12_JIMU_SIKAKU__label="","",wskakunin_sekkei12_JIMU_SIKAKU__label)</f>
        <v/>
      </c>
      <c r="H480" s="15"/>
    </row>
    <row r="481" spans="1:8" ht="15" customHeight="1" x14ac:dyDescent="0.15">
      <c r="A481" s="40"/>
      <c r="B481" s="73" t="s">
        <v>609</v>
      </c>
      <c r="C481" s="14" t="s">
        <v>2342</v>
      </c>
      <c r="D481" s="141"/>
      <c r="E481" s="14" t="s">
        <v>2343</v>
      </c>
      <c r="F481" s="141" t="str">
        <f>IF(wskakunin_sekkei12_JIMU_TOUROKU_KIKAN__label="","",wskakunin_sekkei12_JIMU_TOUROKU_KIKAN__label)</f>
        <v/>
      </c>
      <c r="H481" s="15"/>
    </row>
    <row r="482" spans="1:8" ht="15" customHeight="1" x14ac:dyDescent="0.15">
      <c r="A482" s="40"/>
      <c r="B482" s="73" t="s">
        <v>610</v>
      </c>
      <c r="C482" s="14" t="s">
        <v>2344</v>
      </c>
      <c r="D482" s="213"/>
      <c r="E482" s="14" t="s">
        <v>2345</v>
      </c>
      <c r="F482" s="141" t="str">
        <f>IF(wskakunin_sekkei12_JIMU_NO="","",wskakunin_sekkei12_JIMU_NO)</f>
        <v/>
      </c>
      <c r="H482" s="15"/>
    </row>
    <row r="483" spans="1:8" ht="15" customHeight="1" x14ac:dyDescent="0.15">
      <c r="A483" s="56"/>
      <c r="B483" s="73" t="s">
        <v>94</v>
      </c>
      <c r="C483" s="14" t="s">
        <v>2346</v>
      </c>
      <c r="D483" s="141"/>
      <c r="E483" s="14" t="s">
        <v>2347</v>
      </c>
      <c r="F483" s="141" t="str">
        <f>IF(wskakunin_sekkei12_JIMU_NAME="", "", wskakunin_sekkei12_JIMU_NAME)</f>
        <v/>
      </c>
      <c r="H483" s="15"/>
    </row>
    <row r="484" spans="1:8" ht="15" customHeight="1" x14ac:dyDescent="0.15">
      <c r="A484" s="40"/>
      <c r="B484" s="73" t="s">
        <v>709</v>
      </c>
      <c r="D484" s="30"/>
      <c r="E484" s="14" t="s">
        <v>2348</v>
      </c>
      <c r="F484" s="141" t="str">
        <f>wskakunin_sekkei12_JIMU_NAME&amp;" "&amp;wskakunin_sekkei12_NAME</f>
        <v xml:space="preserve"> </v>
      </c>
      <c r="H484" s="15"/>
    </row>
    <row r="485" spans="1:8" ht="15" customHeight="1" x14ac:dyDescent="0.15">
      <c r="A485" s="56"/>
      <c r="B485" s="73" t="s">
        <v>5</v>
      </c>
      <c r="C485" s="14" t="s">
        <v>2349</v>
      </c>
      <c r="D485" s="213"/>
      <c r="E485" s="14" t="s">
        <v>2350</v>
      </c>
      <c r="F485" s="141" t="str">
        <f>IF(wskakunin_sekkei12_ZIP="", "", wskakunin_sekkei12_ZIP)</f>
        <v/>
      </c>
      <c r="H485" s="15" t="s">
        <v>727</v>
      </c>
    </row>
    <row r="486" spans="1:8" ht="15" customHeight="1" x14ac:dyDescent="0.15">
      <c r="A486" s="56"/>
      <c r="B486" s="73" t="s">
        <v>8</v>
      </c>
      <c r="C486" s="14" t="s">
        <v>2351</v>
      </c>
      <c r="D486" s="141"/>
      <c r="E486" s="14" t="s">
        <v>2352</v>
      </c>
      <c r="F486" s="141" t="str">
        <f>IF(wskakunin_sekkei12__address="", "", wskakunin_sekkei12__address)</f>
        <v/>
      </c>
      <c r="H486" s="15"/>
    </row>
    <row r="487" spans="1:8" ht="15" customHeight="1" x14ac:dyDescent="0.15">
      <c r="A487" s="56"/>
      <c r="B487" s="73" t="s">
        <v>7</v>
      </c>
      <c r="C487" s="14" t="s">
        <v>2353</v>
      </c>
      <c r="D487" s="213"/>
      <c r="E487" s="14" t="s">
        <v>2354</v>
      </c>
      <c r="F487" s="141" t="str">
        <f>IF(wskakunin_sekkei12_TEL="", "", wskakunin_sekkei12_TEL)</f>
        <v/>
      </c>
      <c r="H487" s="15"/>
    </row>
    <row r="488" spans="1:8" ht="15" customHeight="1" x14ac:dyDescent="0.15">
      <c r="A488" s="56"/>
      <c r="B488" s="73" t="s">
        <v>728</v>
      </c>
      <c r="C488" s="14" t="s">
        <v>2355</v>
      </c>
      <c r="D488" s="213"/>
      <c r="E488" s="14" t="s">
        <v>2356</v>
      </c>
      <c r="F488" s="141" t="str">
        <f>IF(wskakunin_sekkei12_DOC="","",wskakunin_sekkei12_DOC)</f>
        <v/>
      </c>
      <c r="H488" s="15"/>
    </row>
    <row r="489" spans="1:8" ht="15" customHeight="1" x14ac:dyDescent="0.15">
      <c r="A489" s="56"/>
      <c r="B489" s="81"/>
      <c r="G489" s="15"/>
      <c r="H489" s="15"/>
    </row>
    <row r="490" spans="1:8" s="17" customFormat="1" ht="15" customHeight="1" x14ac:dyDescent="0.15">
      <c r="A490" s="77" t="s">
        <v>886</v>
      </c>
      <c r="B490" s="97"/>
    </row>
    <row r="491" spans="1:8" s="17" customFormat="1" ht="15" customHeight="1" x14ac:dyDescent="0.15">
      <c r="A491" s="38" t="s">
        <v>887</v>
      </c>
      <c r="B491" s="98"/>
    </row>
    <row r="492" spans="1:8" s="17" customFormat="1" ht="15" customHeight="1" x14ac:dyDescent="0.15">
      <c r="A492" s="99"/>
      <c r="B492" s="70" t="s">
        <v>735</v>
      </c>
      <c r="C492" s="29" t="s">
        <v>888</v>
      </c>
      <c r="D492" s="222"/>
      <c r="E492" s="29" t="s">
        <v>889</v>
      </c>
      <c r="F492" s="224" t="str">
        <f>IF(wskakunin_20kouzou101_NAME="","",wskakunin_20kouzou101_NAME)</f>
        <v/>
      </c>
    </row>
    <row r="493" spans="1:8" s="17" customFormat="1" ht="15" customHeight="1" x14ac:dyDescent="0.15">
      <c r="A493" s="99"/>
      <c r="B493" s="70" t="s">
        <v>733</v>
      </c>
      <c r="C493" s="29" t="s">
        <v>2636</v>
      </c>
      <c r="D493" s="222"/>
      <c r="E493" s="29" t="s">
        <v>2637</v>
      </c>
      <c r="F493" s="225" t="str">
        <f>IF(wskakunin_20kouzou101_KOUZOUSEKKEI_KOUFU_NO="","",wskakunin_20kouzou101_KOUZOUSEKKEI_KOUFU_NO)</f>
        <v/>
      </c>
    </row>
    <row r="494" spans="1:8" s="17" customFormat="1" ht="15" customHeight="1" x14ac:dyDescent="0.15">
      <c r="A494" s="99"/>
      <c r="B494" s="70" t="s">
        <v>735</v>
      </c>
      <c r="C494" s="29" t="s">
        <v>2671</v>
      </c>
      <c r="D494" s="222"/>
      <c r="E494" s="29" t="s">
        <v>2672</v>
      </c>
      <c r="F494" s="225" t="str">
        <f>IF(wskakunin_20kouzou102_NAME="","",wskakunin_20kouzou102_NAME)</f>
        <v/>
      </c>
    </row>
    <row r="495" spans="1:8" s="17" customFormat="1" ht="15" customHeight="1" x14ac:dyDescent="0.15">
      <c r="A495" s="99"/>
      <c r="B495" s="70" t="s">
        <v>733</v>
      </c>
      <c r="C495" s="29" t="s">
        <v>2673</v>
      </c>
      <c r="D495" s="222"/>
      <c r="E495" s="29" t="s">
        <v>2674</v>
      </c>
      <c r="F495" s="225" t="str">
        <f>IF(wskakunin_20kouzou102_KOUZOUSEKKEI_KOUFU_NO="","",wskakunin_20kouzou102_KOUZOUSEKKEI_KOUFU_NO)</f>
        <v/>
      </c>
    </row>
    <row r="496" spans="1:8" s="17" customFormat="1" ht="15" customHeight="1" x14ac:dyDescent="0.15">
      <c r="A496" s="99"/>
      <c r="B496" s="70" t="s">
        <v>735</v>
      </c>
      <c r="C496" s="29" t="s">
        <v>2675</v>
      </c>
      <c r="D496" s="222"/>
      <c r="E496" s="29" t="s">
        <v>2676</v>
      </c>
      <c r="F496" s="225" t="str">
        <f>IF(wskakunin_20kouzou103_NAME="","",wskakunin_20kouzou103_NAME)</f>
        <v/>
      </c>
    </row>
    <row r="497" spans="1:6" s="17" customFormat="1" ht="15" customHeight="1" x14ac:dyDescent="0.15">
      <c r="A497" s="99"/>
      <c r="B497" s="70" t="s">
        <v>733</v>
      </c>
      <c r="C497" s="29" t="s">
        <v>2677</v>
      </c>
      <c r="D497" s="222"/>
      <c r="E497" s="29" t="s">
        <v>2678</v>
      </c>
      <c r="F497" s="225" t="str">
        <f>IF(wskakunin_20kouzou103_KOUZOUSEKKEI_KOUFU_NO="","",wskakunin_20kouzou103_KOUZOUSEKKEI_KOUFU_NO)</f>
        <v/>
      </c>
    </row>
    <row r="498" spans="1:6" s="17" customFormat="1" ht="15" customHeight="1" x14ac:dyDescent="0.15">
      <c r="A498" s="99"/>
      <c r="B498" s="70" t="s">
        <v>735</v>
      </c>
      <c r="C498" s="29" t="s">
        <v>2679</v>
      </c>
      <c r="D498" s="222"/>
      <c r="E498" s="29" t="s">
        <v>2680</v>
      </c>
      <c r="F498" s="225" t="str">
        <f>IF(wskakunin_20kouzou104_NAME="","",wskakunin_20kouzou104_NAME)</f>
        <v/>
      </c>
    </row>
    <row r="499" spans="1:6" s="17" customFormat="1" ht="15" customHeight="1" x14ac:dyDescent="0.15">
      <c r="A499" s="99"/>
      <c r="B499" s="70" t="s">
        <v>733</v>
      </c>
      <c r="C499" s="29" t="s">
        <v>2681</v>
      </c>
      <c r="D499" s="222"/>
      <c r="E499" s="29" t="s">
        <v>2682</v>
      </c>
      <c r="F499" s="225" t="str">
        <f>IF(wskakunin_20kouzou104_KOUZOUSEKKEI_KOUFU_NO="","",wskakunin_20kouzou104_KOUZOUSEKKEI_KOUFU_NO)</f>
        <v/>
      </c>
    </row>
    <row r="500" spans="1:6" s="17" customFormat="1" ht="15" customHeight="1" x14ac:dyDescent="0.15">
      <c r="A500" s="99"/>
      <c r="B500" s="70" t="s">
        <v>735</v>
      </c>
      <c r="C500" s="29" t="s">
        <v>2683</v>
      </c>
      <c r="D500" s="223"/>
      <c r="E500" s="29" t="s">
        <v>2684</v>
      </c>
      <c r="F500" s="225" t="str">
        <f>IF(wskakunin_20kouzou105_NAME="","",wskakunin_20kouzou105_NAME)</f>
        <v/>
      </c>
    </row>
    <row r="501" spans="1:6" s="17" customFormat="1" ht="15" customHeight="1" x14ac:dyDescent="0.15">
      <c r="A501" s="99"/>
      <c r="B501" s="70" t="s">
        <v>733</v>
      </c>
      <c r="C501" s="29" t="s">
        <v>2685</v>
      </c>
      <c r="D501" s="222"/>
      <c r="E501" s="29" t="s">
        <v>2686</v>
      </c>
      <c r="F501" s="225" t="str">
        <f>IF(wskakunin_20kouzou105_KOUZOUSEKKEI_KOUFU_NO="","",wskakunin_20kouzou105_KOUZOUSEKKEI_KOUFU_NO)</f>
        <v/>
      </c>
    </row>
    <row r="502" spans="1:6" ht="15" customHeight="1" x14ac:dyDescent="0.15">
      <c r="A502" s="46"/>
      <c r="B502" s="70"/>
    </row>
    <row r="503" spans="1:6" s="17" customFormat="1" ht="15" customHeight="1" x14ac:dyDescent="0.15">
      <c r="A503" s="38" t="s">
        <v>890</v>
      </c>
      <c r="B503" s="98"/>
      <c r="C503" s="192"/>
      <c r="D503" s="193"/>
      <c r="E503" s="192"/>
      <c r="F503" s="192"/>
    </row>
    <row r="504" spans="1:6" s="17" customFormat="1" ht="15" customHeight="1" x14ac:dyDescent="0.15">
      <c r="A504" s="99"/>
      <c r="B504" s="70" t="s">
        <v>735</v>
      </c>
      <c r="C504" s="29" t="s">
        <v>891</v>
      </c>
      <c r="D504" s="222"/>
      <c r="E504" s="29" t="s">
        <v>892</v>
      </c>
      <c r="F504" s="224" t="str">
        <f>IF(wskakunin_20kouzou301_NAME="","",wskakunin_20kouzou301_NAME)</f>
        <v/>
      </c>
    </row>
    <row r="505" spans="1:6" s="17" customFormat="1" ht="15" customHeight="1" x14ac:dyDescent="0.15">
      <c r="A505" s="99"/>
      <c r="B505" s="70" t="s">
        <v>733</v>
      </c>
      <c r="C505" s="192" t="s">
        <v>2638</v>
      </c>
      <c r="D505" s="222"/>
      <c r="E505" s="192" t="s">
        <v>2639</v>
      </c>
      <c r="F505" s="224" t="str">
        <f>IF(wskakunin_20kouzou301_KOUZOUSEKKEI_KOUFU_NO="","",wskakunin_20kouzou301_KOUZOUSEKKEI_KOUFU_NO)</f>
        <v/>
      </c>
    </row>
    <row r="506" spans="1:6" s="17" customFormat="1" ht="15" customHeight="1" x14ac:dyDescent="0.15">
      <c r="A506" s="99"/>
      <c r="B506" s="70" t="s">
        <v>735</v>
      </c>
      <c r="C506" s="192" t="s">
        <v>2687</v>
      </c>
      <c r="D506" s="222"/>
      <c r="E506" s="192" t="s">
        <v>2688</v>
      </c>
      <c r="F506" s="224" t="str">
        <f>IF(wskakunin_20kouzou302_NAME="","",wskakunin_20kouzou302_NAME)</f>
        <v/>
      </c>
    </row>
    <row r="507" spans="1:6" s="17" customFormat="1" ht="15" customHeight="1" x14ac:dyDescent="0.15">
      <c r="A507" s="99"/>
      <c r="B507" s="70" t="s">
        <v>733</v>
      </c>
      <c r="C507" s="192" t="s">
        <v>2689</v>
      </c>
      <c r="D507" s="222"/>
      <c r="E507" s="192" t="s">
        <v>2690</v>
      </c>
      <c r="F507" s="224" t="str">
        <f>IF(wskakunin_20kouzou302_KOUZOUSEKKEI_KOUFU_NO="","",wskakunin_20kouzou302_KOUZOUSEKKEI_KOUFU_NO)</f>
        <v/>
      </c>
    </row>
    <row r="508" spans="1:6" s="17" customFormat="1" ht="15" customHeight="1" x14ac:dyDescent="0.15">
      <c r="A508" s="99"/>
      <c r="B508" s="70" t="s">
        <v>735</v>
      </c>
      <c r="C508" s="192" t="s">
        <v>2691</v>
      </c>
      <c r="D508" s="222"/>
      <c r="E508" s="192" t="s">
        <v>2692</v>
      </c>
      <c r="F508" s="224" t="str">
        <f>IF(wskakunin_20kouzou303_NAME="","",wskakunin_20kouzou303_NAME)</f>
        <v/>
      </c>
    </row>
    <row r="509" spans="1:6" s="17" customFormat="1" ht="15" customHeight="1" x14ac:dyDescent="0.15">
      <c r="A509" s="99"/>
      <c r="B509" s="70" t="s">
        <v>733</v>
      </c>
      <c r="C509" s="192" t="s">
        <v>2693</v>
      </c>
      <c r="D509" s="222"/>
      <c r="E509" s="192" t="s">
        <v>2694</v>
      </c>
      <c r="F509" s="224" t="str">
        <f>IF(wskakunin_20kouzou303_KOUZOUSEKKEI_KOUFU_NO="","",wskakunin_20kouzou303_KOUZOUSEKKEI_KOUFU_NO)</f>
        <v/>
      </c>
    </row>
    <row r="510" spans="1:6" s="17" customFormat="1" ht="15" customHeight="1" x14ac:dyDescent="0.15">
      <c r="A510" s="99"/>
      <c r="B510" s="70" t="s">
        <v>735</v>
      </c>
      <c r="C510" s="192" t="s">
        <v>2695</v>
      </c>
      <c r="D510" s="222"/>
      <c r="E510" s="192" t="s">
        <v>2696</v>
      </c>
      <c r="F510" s="224" t="str">
        <f>IF(wskakunin_20kouzou304_NAME="","",wskakunin_20kouzou304_NAME)</f>
        <v/>
      </c>
    </row>
    <row r="511" spans="1:6" s="17" customFormat="1" ht="15" customHeight="1" x14ac:dyDescent="0.15">
      <c r="A511" s="99"/>
      <c r="B511" s="70" t="s">
        <v>733</v>
      </c>
      <c r="C511" s="192" t="s">
        <v>2697</v>
      </c>
      <c r="D511" s="222"/>
      <c r="E511" s="192" t="s">
        <v>2698</v>
      </c>
      <c r="F511" s="224" t="str">
        <f>IF(wskakunin_20kouzou304_KOUZOUSEKKEI_KOUFU_NO="","",wskakunin_20kouzou304_KOUZOUSEKKEI_KOUFU_NO)</f>
        <v/>
      </c>
    </row>
    <row r="512" spans="1:6" s="17" customFormat="1" ht="15" customHeight="1" x14ac:dyDescent="0.15">
      <c r="A512" s="99"/>
      <c r="B512" s="70" t="s">
        <v>735</v>
      </c>
      <c r="C512" s="192" t="s">
        <v>2699</v>
      </c>
      <c r="D512" s="222"/>
      <c r="E512" s="192" t="s">
        <v>2700</v>
      </c>
      <c r="F512" s="224" t="str">
        <f>IF(wskakunin_20kouzou305_NAME="","",wskakunin_20kouzou305_NAME)</f>
        <v/>
      </c>
    </row>
    <row r="513" spans="1:6" s="17" customFormat="1" ht="15" customHeight="1" x14ac:dyDescent="0.15">
      <c r="A513" s="99"/>
      <c r="B513" s="70" t="s">
        <v>733</v>
      </c>
      <c r="C513" s="192" t="s">
        <v>2701</v>
      </c>
      <c r="D513" s="222"/>
      <c r="E513" s="192" t="s">
        <v>2702</v>
      </c>
      <c r="F513" s="224" t="str">
        <f>IF(wskakunin_20kouzou305_KOUZOUSEKKEI_KOUFU_NO="","",wskakunin_20kouzou305_KOUZOUSEKKEI_KOUFU_NO)</f>
        <v/>
      </c>
    </row>
    <row r="514" spans="1:6" ht="15" customHeight="1" x14ac:dyDescent="0.15">
      <c r="A514" s="46"/>
      <c r="B514" s="70"/>
    </row>
    <row r="515" spans="1:6" s="17" customFormat="1" ht="15" customHeight="1" x14ac:dyDescent="0.15">
      <c r="A515" s="38" t="s">
        <v>893</v>
      </c>
      <c r="B515" s="98"/>
      <c r="C515" s="192"/>
      <c r="D515" s="193"/>
      <c r="E515" s="192"/>
      <c r="F515" s="192"/>
    </row>
    <row r="516" spans="1:6" s="17" customFormat="1" ht="15" customHeight="1" x14ac:dyDescent="0.15">
      <c r="A516" s="99"/>
      <c r="B516" s="70" t="s">
        <v>735</v>
      </c>
      <c r="C516" s="29" t="s">
        <v>894</v>
      </c>
      <c r="D516" s="222"/>
      <c r="E516" s="29" t="s">
        <v>895</v>
      </c>
      <c r="F516" s="225" t="str">
        <f>IF(wskakunin_20setubi101_NAME="","",wskakunin_20setubi101_NAME)</f>
        <v/>
      </c>
    </row>
    <row r="517" spans="1:6" s="17" customFormat="1" ht="15" customHeight="1" x14ac:dyDescent="0.15">
      <c r="A517" s="99"/>
      <c r="B517" s="70" t="s">
        <v>896</v>
      </c>
      <c r="C517" s="29" t="s">
        <v>2640</v>
      </c>
      <c r="D517" s="222"/>
      <c r="E517" s="29" t="s">
        <v>2641</v>
      </c>
      <c r="F517" s="225" t="str">
        <f>IF(wskakunin_20setubi101_SETUBISEKKEI_KOUFU_NO="","",wskakunin_20setubi101_SETUBISEKKEI_KOUFU_NO)</f>
        <v/>
      </c>
    </row>
    <row r="518" spans="1:6" s="17" customFormat="1" ht="15" customHeight="1" x14ac:dyDescent="0.15">
      <c r="A518" s="99"/>
      <c r="B518" s="70" t="s">
        <v>735</v>
      </c>
      <c r="C518" s="29" t="s">
        <v>897</v>
      </c>
      <c r="D518" s="222"/>
      <c r="E518" s="29" t="s">
        <v>898</v>
      </c>
      <c r="F518" s="225" t="str">
        <f>IF(wskakunin_20setubi102_NAME="","",wskakunin_20setubi102_NAME)</f>
        <v/>
      </c>
    </row>
    <row r="519" spans="1:6" s="17" customFormat="1" ht="15" customHeight="1" x14ac:dyDescent="0.15">
      <c r="A519" s="99"/>
      <c r="B519" s="70" t="s">
        <v>896</v>
      </c>
      <c r="C519" s="29" t="s">
        <v>2642</v>
      </c>
      <c r="D519" s="222"/>
      <c r="E519" s="29" t="s">
        <v>2643</v>
      </c>
      <c r="F519" s="225" t="str">
        <f>IF(wskakunin_20setubi102_SETUBISEKKEI_KOUFU_NO="","",wskakunin_20setubi102_SETUBISEKKEI_KOUFU_NO)</f>
        <v/>
      </c>
    </row>
    <row r="520" spans="1:6" s="17" customFormat="1" ht="15" customHeight="1" x14ac:dyDescent="0.15">
      <c r="A520" s="99"/>
      <c r="B520" s="70" t="s">
        <v>735</v>
      </c>
      <c r="C520" s="29" t="s">
        <v>899</v>
      </c>
      <c r="D520" s="222"/>
      <c r="E520" s="29" t="s">
        <v>900</v>
      </c>
      <c r="F520" s="225" t="str">
        <f>IF(wskakunin_20setubi103_NAME="","",wskakunin_20setubi103_NAME)</f>
        <v/>
      </c>
    </row>
    <row r="521" spans="1:6" s="17" customFormat="1" ht="15" customHeight="1" x14ac:dyDescent="0.15">
      <c r="A521" s="99"/>
      <c r="B521" s="70" t="s">
        <v>896</v>
      </c>
      <c r="C521" s="29" t="s">
        <v>2644</v>
      </c>
      <c r="D521" s="222"/>
      <c r="E521" s="29" t="s">
        <v>2645</v>
      </c>
      <c r="F521" s="225" t="str">
        <f>IF(wskakunin_20setubi103_SETUBISEKKEI_KOUFU_NO="","",wskakunin_20setubi103_SETUBISEKKEI_KOUFU_NO)</f>
        <v/>
      </c>
    </row>
    <row r="522" spans="1:6" s="17" customFormat="1" ht="15" customHeight="1" x14ac:dyDescent="0.15">
      <c r="A522" s="99"/>
      <c r="B522" s="70" t="s">
        <v>735</v>
      </c>
      <c r="C522" s="29" t="s">
        <v>2703</v>
      </c>
      <c r="D522" s="222"/>
      <c r="E522" s="29" t="s">
        <v>2704</v>
      </c>
      <c r="F522" s="225" t="str">
        <f>IF(wskakunin_20setubi104_NAME="","",wskakunin_20setubi104_NAME)</f>
        <v/>
      </c>
    </row>
    <row r="523" spans="1:6" s="17" customFormat="1" ht="15" customHeight="1" x14ac:dyDescent="0.15">
      <c r="A523" s="99"/>
      <c r="B523" s="70" t="s">
        <v>896</v>
      </c>
      <c r="C523" s="29" t="s">
        <v>2705</v>
      </c>
      <c r="D523" s="222"/>
      <c r="E523" s="29" t="s">
        <v>2706</v>
      </c>
      <c r="F523" s="225" t="str">
        <f>IF(wskakunin_20setubi104_SETUBISEKKEI_KOUFU_NO="","",wskakunin_20setubi104_SETUBISEKKEI_KOUFU_NO)</f>
        <v/>
      </c>
    </row>
    <row r="524" spans="1:6" s="17" customFormat="1" ht="15" customHeight="1" x14ac:dyDescent="0.15">
      <c r="A524" s="99"/>
      <c r="B524" s="70" t="s">
        <v>735</v>
      </c>
      <c r="C524" s="29" t="s">
        <v>2707</v>
      </c>
      <c r="D524" s="222"/>
      <c r="E524" s="29" t="s">
        <v>2708</v>
      </c>
      <c r="F524" s="225" t="str">
        <f>IF(wskakunin_20setubi105_NAME="","",wskakunin_20setubi105_NAME)</f>
        <v/>
      </c>
    </row>
    <row r="525" spans="1:6" s="17" customFormat="1" ht="15" customHeight="1" x14ac:dyDescent="0.15">
      <c r="A525" s="99"/>
      <c r="B525" s="70" t="s">
        <v>896</v>
      </c>
      <c r="C525" s="29" t="s">
        <v>2709</v>
      </c>
      <c r="D525" s="222"/>
      <c r="E525" s="29" t="s">
        <v>2710</v>
      </c>
      <c r="F525" s="225" t="str">
        <f>IF(wskakunin_20setubi105_SETUBISEKKEI_KOUFU_NO="","",wskakunin_20setubi105_SETUBISEKKEI_KOUFU_NO)</f>
        <v/>
      </c>
    </row>
    <row r="526" spans="1:6" ht="15" customHeight="1" x14ac:dyDescent="0.15">
      <c r="A526" s="46"/>
      <c r="B526" s="70"/>
    </row>
    <row r="527" spans="1:6" s="17" customFormat="1" ht="15" customHeight="1" x14ac:dyDescent="0.15">
      <c r="A527" s="38" t="s">
        <v>901</v>
      </c>
      <c r="B527" s="98"/>
      <c r="C527" s="192"/>
      <c r="D527" s="193"/>
      <c r="E527" s="192"/>
      <c r="F527" s="192"/>
    </row>
    <row r="528" spans="1:6" s="17" customFormat="1" ht="15" customHeight="1" x14ac:dyDescent="0.15">
      <c r="A528" s="99"/>
      <c r="B528" s="70" t="s">
        <v>735</v>
      </c>
      <c r="C528" s="29" t="s">
        <v>902</v>
      </c>
      <c r="D528" s="222"/>
      <c r="E528" s="29" t="s">
        <v>903</v>
      </c>
      <c r="F528" s="225" t="str">
        <f>IF(wskakunin_20setubi301_NAME="","",wskakunin_20setubi301_NAME)</f>
        <v/>
      </c>
    </row>
    <row r="529" spans="1:22" s="17" customFormat="1" ht="15" customHeight="1" x14ac:dyDescent="0.15">
      <c r="A529" s="99"/>
      <c r="B529" s="70" t="s">
        <v>896</v>
      </c>
      <c r="C529" s="29" t="s">
        <v>2646</v>
      </c>
      <c r="D529" s="222"/>
      <c r="E529" s="29" t="s">
        <v>2647</v>
      </c>
      <c r="F529" s="225" t="str">
        <f>IF(wskakunin_20setubi301_SETUBISEKKEI_KOUFU_NO="","",wskakunin_20setubi301_SETUBISEKKEI_KOUFU_NO)</f>
        <v/>
      </c>
    </row>
    <row r="530" spans="1:22" s="17" customFormat="1" ht="15" customHeight="1" x14ac:dyDescent="0.15">
      <c r="A530" s="99"/>
      <c r="B530" s="70" t="s">
        <v>735</v>
      </c>
      <c r="C530" s="29" t="s">
        <v>904</v>
      </c>
      <c r="D530" s="222"/>
      <c r="E530" s="29" t="s">
        <v>905</v>
      </c>
      <c r="F530" s="225" t="str">
        <f>IF(wskakunin_20setubi302_NAME="","",wskakunin_20setubi302_NAME)</f>
        <v/>
      </c>
    </row>
    <row r="531" spans="1:22" s="17" customFormat="1" ht="15" customHeight="1" x14ac:dyDescent="0.15">
      <c r="A531" s="99"/>
      <c r="B531" s="70" t="s">
        <v>896</v>
      </c>
      <c r="C531" s="29" t="s">
        <v>2648</v>
      </c>
      <c r="D531" s="222"/>
      <c r="E531" s="29" t="s">
        <v>2649</v>
      </c>
      <c r="F531" s="225" t="str">
        <f>IF(wskakunin_20setubi302_SETUBISEKKEI_KOUFU_NO="","",wskakunin_20setubi302_SETUBISEKKEI_KOUFU_NO)</f>
        <v/>
      </c>
    </row>
    <row r="532" spans="1:22" s="17" customFormat="1" ht="15" customHeight="1" x14ac:dyDescent="0.15">
      <c r="A532" s="99"/>
      <c r="B532" s="70" t="s">
        <v>735</v>
      </c>
      <c r="C532" s="29" t="s">
        <v>906</v>
      </c>
      <c r="D532" s="222"/>
      <c r="E532" s="29" t="s">
        <v>907</v>
      </c>
      <c r="F532" s="225" t="str">
        <f>IF(wskakunin_20setubi303_NAME="","",wskakunin_20setubi303_NAME)</f>
        <v/>
      </c>
    </row>
    <row r="533" spans="1:22" s="17" customFormat="1" ht="15" customHeight="1" x14ac:dyDescent="0.15">
      <c r="A533" s="99"/>
      <c r="B533" s="70" t="s">
        <v>896</v>
      </c>
      <c r="C533" s="29" t="s">
        <v>2650</v>
      </c>
      <c r="D533" s="222"/>
      <c r="E533" s="29" t="s">
        <v>2651</v>
      </c>
      <c r="F533" s="225" t="str">
        <f>IF(wskakunin_20setubi303_SETUBISEKKEI_KOUFU_NO="","",wskakunin_20setubi303_SETUBISEKKEI_KOUFU_NO)</f>
        <v/>
      </c>
    </row>
    <row r="534" spans="1:22" s="17" customFormat="1" ht="15" customHeight="1" x14ac:dyDescent="0.15">
      <c r="A534" s="99"/>
      <c r="B534" s="70" t="s">
        <v>735</v>
      </c>
      <c r="C534" s="29" t="s">
        <v>2711</v>
      </c>
      <c r="D534" s="222"/>
      <c r="E534" s="29" t="s">
        <v>2712</v>
      </c>
      <c r="F534" s="225" t="str">
        <f>IF(wskakunin_20setubi304_NAME="","",wskakunin_20setubi304_NAME)</f>
        <v/>
      </c>
    </row>
    <row r="535" spans="1:22" s="17" customFormat="1" ht="15" customHeight="1" x14ac:dyDescent="0.15">
      <c r="A535" s="99"/>
      <c r="B535" s="70" t="s">
        <v>896</v>
      </c>
      <c r="C535" s="29" t="s">
        <v>2713</v>
      </c>
      <c r="D535" s="222"/>
      <c r="E535" s="29" t="s">
        <v>2714</v>
      </c>
      <c r="F535" s="225" t="str">
        <f>IF(wskakunin_20setubi304_SETUBISEKKEI_KOUFU_NO="","",wskakunin_20setubi304_SETUBISEKKEI_KOUFU_NO)</f>
        <v/>
      </c>
    </row>
    <row r="536" spans="1:22" s="17" customFormat="1" ht="15" customHeight="1" x14ac:dyDescent="0.15">
      <c r="A536" s="99"/>
      <c r="B536" s="70" t="s">
        <v>735</v>
      </c>
      <c r="C536" s="29" t="s">
        <v>2715</v>
      </c>
      <c r="D536" s="222"/>
      <c r="E536" s="29" t="s">
        <v>2716</v>
      </c>
      <c r="F536" s="225" t="str">
        <f>IF(wskakunin_20setubi305_NAME="","",wskakunin_20setubi305_NAME)</f>
        <v/>
      </c>
    </row>
    <row r="537" spans="1:22" s="17" customFormat="1" ht="15" customHeight="1" x14ac:dyDescent="0.15">
      <c r="A537" s="99"/>
      <c r="B537" s="70" t="s">
        <v>896</v>
      </c>
      <c r="C537" s="29" t="s">
        <v>2717</v>
      </c>
      <c r="D537" s="222"/>
      <c r="E537" s="29" t="s">
        <v>2718</v>
      </c>
      <c r="F537" s="225" t="str">
        <f>IF(wskakunin_20setubi305_SETUBISEKKEI_KOUFU_NO="","",wskakunin_20setubi305_SETUBISEKKEI_KOUFU_NO)</f>
        <v/>
      </c>
    </row>
    <row r="538" spans="1:22" ht="15" customHeight="1" x14ac:dyDescent="0.15">
      <c r="A538" s="47"/>
      <c r="B538" s="71"/>
    </row>
    <row r="539" spans="1:22" s="15" customFormat="1" ht="15" customHeight="1" x14ac:dyDescent="0.15">
      <c r="A539" s="33" t="s">
        <v>646</v>
      </c>
      <c r="B539" s="34"/>
      <c r="C539" s="30"/>
      <c r="D539" s="30"/>
      <c r="E539" s="30"/>
    </row>
    <row r="540" spans="1:22" s="15" customFormat="1" ht="15" customHeight="1" x14ac:dyDescent="0.15">
      <c r="A540" s="36" t="s">
        <v>734</v>
      </c>
      <c r="B540" s="37"/>
      <c r="C540" s="30"/>
      <c r="D540" s="30"/>
      <c r="E540" s="30"/>
    </row>
    <row r="541" spans="1:22" s="31" customFormat="1" ht="15" customHeight="1" x14ac:dyDescent="0.15">
      <c r="A541" s="35"/>
      <c r="B541" s="74" t="s">
        <v>735</v>
      </c>
      <c r="C541" s="14" t="s">
        <v>1474</v>
      </c>
      <c r="D541" s="213"/>
      <c r="E541" s="14" t="s">
        <v>1470</v>
      </c>
      <c r="F541" s="40" t="str">
        <f>IF(wskakunin_iken1_NAME="","",wskakunin_iken1_NAME)</f>
        <v/>
      </c>
      <c r="G541" s="15"/>
    </row>
    <row r="542" spans="1:22" s="31" customFormat="1" ht="15" customHeight="1" x14ac:dyDescent="0.15">
      <c r="A542" s="35"/>
      <c r="B542" s="74" t="s">
        <v>736</v>
      </c>
      <c r="C542" s="14" t="s">
        <v>1475</v>
      </c>
      <c r="D542" s="214"/>
      <c r="E542" s="14" t="s">
        <v>1481</v>
      </c>
      <c r="F542" s="40" t="str">
        <f>IF(wskakunin_iken1_JIMU_NAME="","",wskakunin_iken1_JIMU_NAME)</f>
        <v/>
      </c>
      <c r="G542" s="15"/>
    </row>
    <row r="543" spans="1:22" s="31" customFormat="1" ht="15" customHeight="1" x14ac:dyDescent="0.15">
      <c r="A543" s="35"/>
      <c r="B543" s="74" t="s">
        <v>621</v>
      </c>
      <c r="C543" s="14" t="s">
        <v>1476</v>
      </c>
      <c r="D543" s="214"/>
      <c r="E543" s="14" t="s">
        <v>1482</v>
      </c>
      <c r="F543" s="40" t="str">
        <f>IF(wskakunin_iken1_ZIP="","",wskakunin_iken1_ZIP)</f>
        <v/>
      </c>
      <c r="G543" s="15"/>
      <c r="I543" s="32"/>
      <c r="J543" s="32"/>
      <c r="K543" s="32"/>
      <c r="L543" s="32"/>
      <c r="M543" s="32"/>
      <c r="N543" s="32"/>
      <c r="O543" s="32"/>
      <c r="P543" s="32"/>
      <c r="Q543" s="32"/>
      <c r="R543" s="32"/>
      <c r="S543" s="32"/>
      <c r="T543" s="32"/>
      <c r="U543" s="32"/>
      <c r="V543" s="32"/>
    </row>
    <row r="544" spans="1:22" s="31" customFormat="1" ht="15" customHeight="1" x14ac:dyDescent="0.15">
      <c r="A544" s="35"/>
      <c r="B544" s="74" t="s">
        <v>737</v>
      </c>
      <c r="C544" s="14" t="s">
        <v>1477</v>
      </c>
      <c r="D544" s="214"/>
      <c r="E544" s="14" t="s">
        <v>1471</v>
      </c>
      <c r="F544" s="40" t="str">
        <f>IF(wskakunin_iken1__address="","",wskakunin_iken1__address)</f>
        <v/>
      </c>
      <c r="G544" s="15"/>
      <c r="I544" s="32"/>
      <c r="J544" s="32"/>
      <c r="K544" s="32"/>
      <c r="L544" s="32"/>
      <c r="M544" s="32"/>
      <c r="N544" s="32"/>
      <c r="O544" s="32"/>
      <c r="P544" s="32"/>
      <c r="Q544" s="32"/>
      <c r="R544" s="32"/>
      <c r="S544" s="32"/>
      <c r="T544" s="32"/>
      <c r="U544" s="32"/>
      <c r="V544" s="32"/>
    </row>
    <row r="545" spans="1:22" s="31" customFormat="1" ht="15" customHeight="1" x14ac:dyDescent="0.15">
      <c r="A545" s="35"/>
      <c r="B545" s="74" t="s">
        <v>650</v>
      </c>
      <c r="C545" s="14" t="s">
        <v>1478</v>
      </c>
      <c r="D545" s="214"/>
      <c r="E545" s="14" t="s">
        <v>1472</v>
      </c>
      <c r="F545" s="40" t="str">
        <f>IF(wskakunin_iken1_TEL="","",wskakunin_iken1_TEL)</f>
        <v/>
      </c>
      <c r="G545" s="15"/>
      <c r="I545" s="32"/>
      <c r="J545" s="32"/>
      <c r="K545" s="32"/>
      <c r="L545" s="32"/>
      <c r="M545" s="32"/>
      <c r="N545" s="32"/>
      <c r="O545" s="32"/>
      <c r="P545" s="32"/>
      <c r="Q545" s="32"/>
      <c r="R545" s="32"/>
      <c r="S545" s="32"/>
      <c r="T545" s="32"/>
      <c r="U545" s="32"/>
      <c r="V545" s="32"/>
    </row>
    <row r="546" spans="1:22" s="31" customFormat="1" ht="15" customHeight="1" x14ac:dyDescent="0.15">
      <c r="A546" s="35"/>
      <c r="B546" s="74" t="s">
        <v>651</v>
      </c>
      <c r="C546" s="14" t="s">
        <v>1479</v>
      </c>
      <c r="D546" s="214"/>
      <c r="E546" s="14" t="s">
        <v>1483</v>
      </c>
      <c r="F546" s="40" t="str">
        <f>IF(wskakunin_iken1_IKEN_NO="","",wskakunin_iken1_IKEN_NO)</f>
        <v/>
      </c>
      <c r="G546" s="15"/>
    </row>
    <row r="547" spans="1:22" s="15" customFormat="1" ht="15" customHeight="1" x14ac:dyDescent="0.15">
      <c r="A547" s="33"/>
      <c r="B547" s="75" t="s">
        <v>652</v>
      </c>
      <c r="C547" s="30" t="s">
        <v>1480</v>
      </c>
      <c r="D547" s="213"/>
      <c r="E547" s="30" t="s">
        <v>1473</v>
      </c>
      <c r="F547" s="141" t="str">
        <f>IF(wskakunin_iken1_DOC="","",wskakunin_iken1_DOC)</f>
        <v/>
      </c>
    </row>
    <row r="548" spans="1:22" s="15" customFormat="1" ht="15" customHeight="1" x14ac:dyDescent="0.15">
      <c r="A548" s="33"/>
      <c r="B548" s="76"/>
      <c r="C548" s="30"/>
    </row>
    <row r="549" spans="1:22" s="15" customFormat="1" ht="15" customHeight="1" x14ac:dyDescent="0.15">
      <c r="A549" s="36" t="s">
        <v>738</v>
      </c>
      <c r="B549" s="37"/>
      <c r="C549" s="30"/>
      <c r="D549" s="30"/>
    </row>
    <row r="550" spans="1:22" s="31" customFormat="1" ht="15" customHeight="1" x14ac:dyDescent="0.15">
      <c r="A550" s="35"/>
      <c r="B550" s="74" t="s">
        <v>735</v>
      </c>
      <c r="C550" s="14" t="s">
        <v>1491</v>
      </c>
      <c r="D550" s="226"/>
      <c r="E550" s="14" t="s">
        <v>1484</v>
      </c>
      <c r="F550" s="40" t="str">
        <f>IF(wskakunin_iken2_NAME="","",wskakunin_iken2_NAME)</f>
        <v/>
      </c>
      <c r="G550" s="15"/>
    </row>
    <row r="551" spans="1:22" s="31" customFormat="1" ht="15" customHeight="1" x14ac:dyDescent="0.15">
      <c r="A551" s="35"/>
      <c r="B551" s="74" t="s">
        <v>736</v>
      </c>
      <c r="C551" s="14" t="s">
        <v>1492</v>
      </c>
      <c r="D551" s="226"/>
      <c r="E551" s="14" t="s">
        <v>1488</v>
      </c>
      <c r="F551" s="40" t="str">
        <f>IF(wskakunin_iken2_JIMU_NAME="","",wskakunin_iken2_JIMU_NAME)</f>
        <v/>
      </c>
      <c r="G551" s="15"/>
    </row>
    <row r="552" spans="1:22" s="31" customFormat="1" ht="15" customHeight="1" x14ac:dyDescent="0.15">
      <c r="A552" s="35"/>
      <c r="B552" s="74" t="s">
        <v>621</v>
      </c>
      <c r="C552" s="14" t="s">
        <v>1493</v>
      </c>
      <c r="D552" s="226"/>
      <c r="E552" s="14" t="s">
        <v>1489</v>
      </c>
      <c r="F552" s="40" t="str">
        <f>IF(wskakunin_iken2_ZIP="","",wskakunin_iken2_ZIP)</f>
        <v/>
      </c>
      <c r="G552" s="15"/>
      <c r="I552" s="32"/>
      <c r="J552" s="32"/>
      <c r="K552" s="32"/>
      <c r="L552" s="32"/>
      <c r="M552" s="32"/>
      <c r="N552" s="32"/>
      <c r="O552" s="32"/>
      <c r="P552" s="32"/>
      <c r="Q552" s="32"/>
      <c r="R552" s="32"/>
      <c r="S552" s="32"/>
      <c r="T552" s="32"/>
      <c r="U552" s="32"/>
      <c r="V552" s="32"/>
    </row>
    <row r="553" spans="1:22" s="31" customFormat="1" ht="15" customHeight="1" x14ac:dyDescent="0.15">
      <c r="A553" s="35"/>
      <c r="B553" s="74" t="s">
        <v>737</v>
      </c>
      <c r="C553" s="14" t="s">
        <v>1494</v>
      </c>
      <c r="D553" s="226"/>
      <c r="E553" s="14" t="s">
        <v>1485</v>
      </c>
      <c r="F553" s="40" t="str">
        <f>IF(wskakunin_iken2__address="","",wskakunin_iken2__address)</f>
        <v/>
      </c>
      <c r="G553" s="15"/>
      <c r="I553" s="32"/>
      <c r="J553" s="32"/>
      <c r="K553" s="32"/>
      <c r="L553" s="32"/>
      <c r="M553" s="32"/>
      <c r="N553" s="32"/>
      <c r="O553" s="32"/>
      <c r="P553" s="32"/>
      <c r="Q553" s="32"/>
      <c r="R553" s="32"/>
      <c r="S553" s="32"/>
      <c r="T553" s="32"/>
      <c r="U553" s="32"/>
      <c r="V553" s="32"/>
    </row>
    <row r="554" spans="1:22" s="31" customFormat="1" ht="15" customHeight="1" x14ac:dyDescent="0.15">
      <c r="A554" s="35"/>
      <c r="B554" s="74" t="s">
        <v>650</v>
      </c>
      <c r="C554" s="14" t="s">
        <v>1495</v>
      </c>
      <c r="D554" s="226"/>
      <c r="E554" s="14" t="s">
        <v>1486</v>
      </c>
      <c r="F554" s="40" t="str">
        <f>IF(wskakunin_iken2_TEL="","",wskakunin_iken2_TEL)</f>
        <v/>
      </c>
      <c r="G554" s="15"/>
      <c r="I554" s="32"/>
      <c r="J554" s="32"/>
      <c r="K554" s="32"/>
      <c r="L554" s="32"/>
      <c r="M554" s="32"/>
      <c r="N554" s="32"/>
      <c r="O554" s="32"/>
      <c r="P554" s="32"/>
      <c r="Q554" s="32"/>
      <c r="R554" s="32"/>
      <c r="S554" s="32"/>
      <c r="T554" s="32"/>
      <c r="U554" s="32"/>
      <c r="V554" s="32"/>
    </row>
    <row r="555" spans="1:22" s="31" customFormat="1" ht="15" customHeight="1" x14ac:dyDescent="0.15">
      <c r="A555" s="35"/>
      <c r="B555" s="74" t="s">
        <v>651</v>
      </c>
      <c r="C555" s="14" t="s">
        <v>1496</v>
      </c>
      <c r="D555" s="226"/>
      <c r="E555" s="14" t="s">
        <v>1490</v>
      </c>
      <c r="F555" s="40" t="str">
        <f>IF(wskakunin_iken2_IKEN_NO="","",wskakunin_iken2_IKEN_NO)</f>
        <v/>
      </c>
      <c r="G555" s="15"/>
    </row>
    <row r="556" spans="1:22" s="15" customFormat="1" ht="15" customHeight="1" x14ac:dyDescent="0.15">
      <c r="A556" s="33"/>
      <c r="B556" s="75" t="s">
        <v>652</v>
      </c>
      <c r="C556" s="30" t="s">
        <v>1497</v>
      </c>
      <c r="D556" s="213"/>
      <c r="E556" s="30" t="s">
        <v>1487</v>
      </c>
      <c r="F556" s="141" t="str">
        <f>IF(wskakunin_iken2_DOC="","",wskakunin_iken2_DOC)</f>
        <v/>
      </c>
    </row>
    <row r="557" spans="1:22" s="15" customFormat="1" ht="15" customHeight="1" x14ac:dyDescent="0.15">
      <c r="A557" s="33"/>
      <c r="B557" s="76"/>
      <c r="C557" s="30"/>
      <c r="D557" s="30"/>
    </row>
    <row r="558" spans="1:22" s="15" customFormat="1" ht="15" customHeight="1" x14ac:dyDescent="0.15">
      <c r="A558" s="36" t="s">
        <v>739</v>
      </c>
      <c r="B558" s="37"/>
      <c r="C558" s="30"/>
      <c r="D558" s="30"/>
    </row>
    <row r="559" spans="1:22" s="31" customFormat="1" ht="15" customHeight="1" x14ac:dyDescent="0.15">
      <c r="A559" s="35"/>
      <c r="B559" s="74" t="s">
        <v>735</v>
      </c>
      <c r="C559" s="14" t="s">
        <v>1514</v>
      </c>
      <c r="D559" s="214"/>
      <c r="E559" s="14" t="s">
        <v>1500</v>
      </c>
      <c r="F559" s="40" t="str">
        <f>IF(wskakunin_iken3_NAME="","",wskakunin_iken3_NAME)</f>
        <v/>
      </c>
      <c r="G559" s="15"/>
    </row>
    <row r="560" spans="1:22" s="31" customFormat="1" ht="15" customHeight="1" x14ac:dyDescent="0.15">
      <c r="A560" s="35"/>
      <c r="B560" s="74" t="s">
        <v>736</v>
      </c>
      <c r="C560" s="14" t="s">
        <v>1515</v>
      </c>
      <c r="D560" s="214"/>
      <c r="E560" s="14" t="s">
        <v>1501</v>
      </c>
      <c r="F560" s="40" t="str">
        <f>IF(wskakunin_iken3_JIMU_NAME="","",wskakunin_iken3_JIMU_NAME)</f>
        <v/>
      </c>
      <c r="G560" s="15"/>
    </row>
    <row r="561" spans="1:22" s="31" customFormat="1" ht="15" customHeight="1" x14ac:dyDescent="0.15">
      <c r="A561" s="35"/>
      <c r="B561" s="74" t="s">
        <v>621</v>
      </c>
      <c r="C561" s="14" t="s">
        <v>1516</v>
      </c>
      <c r="D561" s="214"/>
      <c r="E561" s="14" t="s">
        <v>1502</v>
      </c>
      <c r="F561" s="40" t="str">
        <f>IF(wskakunin_iken3_ZIP="","",wskakunin_iken3_ZIP)</f>
        <v/>
      </c>
      <c r="G561" s="15"/>
      <c r="I561" s="32"/>
      <c r="J561" s="32"/>
      <c r="K561" s="32"/>
      <c r="L561" s="32"/>
      <c r="M561" s="32"/>
      <c r="N561" s="32"/>
      <c r="O561" s="32"/>
      <c r="P561" s="32"/>
      <c r="Q561" s="32"/>
      <c r="R561" s="32"/>
      <c r="S561" s="32"/>
      <c r="T561" s="32"/>
      <c r="U561" s="32"/>
      <c r="V561" s="32"/>
    </row>
    <row r="562" spans="1:22" s="31" customFormat="1" ht="15" customHeight="1" x14ac:dyDescent="0.15">
      <c r="A562" s="35"/>
      <c r="B562" s="74" t="s">
        <v>737</v>
      </c>
      <c r="C562" s="14" t="s">
        <v>1517</v>
      </c>
      <c r="D562" s="214"/>
      <c r="E562" s="14" t="s">
        <v>1503</v>
      </c>
      <c r="F562" s="40" t="str">
        <f>IF(wskakunin_iken3__address="","",wskakunin_iken3__address)</f>
        <v/>
      </c>
      <c r="G562" s="15"/>
      <c r="I562" s="32"/>
      <c r="J562" s="32"/>
      <c r="K562" s="32"/>
      <c r="L562" s="32"/>
      <c r="M562" s="32"/>
      <c r="N562" s="32"/>
      <c r="O562" s="32"/>
      <c r="P562" s="32"/>
      <c r="Q562" s="32"/>
      <c r="R562" s="32"/>
      <c r="S562" s="32"/>
      <c r="T562" s="32"/>
      <c r="U562" s="32"/>
      <c r="V562" s="32"/>
    </row>
    <row r="563" spans="1:22" s="31" customFormat="1" ht="15" customHeight="1" x14ac:dyDescent="0.15">
      <c r="A563" s="35"/>
      <c r="B563" s="74" t="s">
        <v>650</v>
      </c>
      <c r="C563" s="14" t="s">
        <v>1518</v>
      </c>
      <c r="D563" s="214"/>
      <c r="E563" s="14" t="s">
        <v>1504</v>
      </c>
      <c r="F563" s="40" t="str">
        <f>IF(wskakunin_iken3_TEL="","",wskakunin_iken3_TEL)</f>
        <v/>
      </c>
      <c r="G563" s="15"/>
      <c r="I563" s="32"/>
      <c r="J563" s="32"/>
      <c r="K563" s="32"/>
      <c r="L563" s="32"/>
      <c r="M563" s="32"/>
      <c r="N563" s="32"/>
      <c r="O563" s="32"/>
      <c r="P563" s="32"/>
      <c r="Q563" s="32"/>
      <c r="R563" s="32"/>
      <c r="S563" s="32"/>
      <c r="T563" s="32"/>
      <c r="U563" s="32"/>
      <c r="V563" s="32"/>
    </row>
    <row r="564" spans="1:22" s="31" customFormat="1" ht="15" customHeight="1" x14ac:dyDescent="0.15">
      <c r="A564" s="35"/>
      <c r="B564" s="74" t="s">
        <v>651</v>
      </c>
      <c r="C564" s="14" t="s">
        <v>1519</v>
      </c>
      <c r="D564" s="214"/>
      <c r="E564" s="14" t="s">
        <v>1505</v>
      </c>
      <c r="F564" s="40" t="str">
        <f>IF(wskakunin_iken3_IKEN_NO="","",wskakunin_iken3_IKEN_NO)</f>
        <v/>
      </c>
      <c r="G564" s="15"/>
    </row>
    <row r="565" spans="1:22" s="15" customFormat="1" ht="15" customHeight="1" x14ac:dyDescent="0.15">
      <c r="A565" s="33"/>
      <c r="B565" s="75" t="s">
        <v>652</v>
      </c>
      <c r="C565" s="30" t="s">
        <v>1520</v>
      </c>
      <c r="D565" s="213"/>
      <c r="E565" s="30" t="s">
        <v>1506</v>
      </c>
      <c r="F565" s="141" t="str">
        <f>IF(wskakunin_iken3_DOC="","",wskakunin_iken3_DOC)</f>
        <v/>
      </c>
    </row>
    <row r="566" spans="1:22" s="15" customFormat="1" ht="15" customHeight="1" x14ac:dyDescent="0.15">
      <c r="A566" s="33"/>
      <c r="B566" s="76"/>
      <c r="C566" s="30"/>
      <c r="D566" s="30"/>
    </row>
    <row r="567" spans="1:22" s="15" customFormat="1" ht="15" customHeight="1" x14ac:dyDescent="0.15">
      <c r="A567" s="36" t="s">
        <v>740</v>
      </c>
      <c r="B567" s="37"/>
      <c r="C567" s="30"/>
      <c r="D567" s="30"/>
    </row>
    <row r="568" spans="1:22" s="31" customFormat="1" ht="15" customHeight="1" x14ac:dyDescent="0.15">
      <c r="A568" s="35"/>
      <c r="B568" s="74" t="s">
        <v>735</v>
      </c>
      <c r="C568" s="14" t="s">
        <v>1521</v>
      </c>
      <c r="D568" s="214"/>
      <c r="E568" s="14" t="s">
        <v>1507</v>
      </c>
      <c r="F568" s="40" t="str">
        <f>IF(wskakunin_iken4_NAME="","",wskakunin_iken4_NAME)</f>
        <v/>
      </c>
      <c r="G568" s="15"/>
    </row>
    <row r="569" spans="1:22" s="31" customFormat="1" ht="15" customHeight="1" x14ac:dyDescent="0.15">
      <c r="A569" s="35"/>
      <c r="B569" s="74" t="s">
        <v>736</v>
      </c>
      <c r="C569" s="14" t="s">
        <v>1522</v>
      </c>
      <c r="D569" s="214"/>
      <c r="E569" s="14" t="s">
        <v>1508</v>
      </c>
      <c r="F569" s="40" t="str">
        <f>IF(wskakunin_iken4_JIMU_NAME="","",wskakunin_iken4_JIMU_NAME)</f>
        <v/>
      </c>
      <c r="G569" s="15"/>
    </row>
    <row r="570" spans="1:22" s="31" customFormat="1" ht="15" customHeight="1" x14ac:dyDescent="0.15">
      <c r="A570" s="35"/>
      <c r="B570" s="74" t="s">
        <v>621</v>
      </c>
      <c r="C570" s="14" t="s">
        <v>1523</v>
      </c>
      <c r="D570" s="214"/>
      <c r="E570" s="14" t="s">
        <v>1509</v>
      </c>
      <c r="F570" s="40" t="str">
        <f>IF(wskakunin_iken4_ZIP="","",wskakunin_iken4_ZIP)</f>
        <v/>
      </c>
      <c r="G570" s="15"/>
      <c r="I570" s="32"/>
      <c r="J570" s="32"/>
      <c r="K570" s="32"/>
      <c r="L570" s="32"/>
      <c r="M570" s="32"/>
      <c r="N570" s="32"/>
      <c r="O570" s="32"/>
      <c r="P570" s="32"/>
      <c r="Q570" s="32"/>
      <c r="R570" s="32"/>
      <c r="S570" s="32"/>
      <c r="T570" s="32"/>
      <c r="U570" s="32"/>
      <c r="V570" s="32"/>
    </row>
    <row r="571" spans="1:22" s="31" customFormat="1" ht="15" customHeight="1" x14ac:dyDescent="0.15">
      <c r="A571" s="35"/>
      <c r="B571" s="74" t="s">
        <v>737</v>
      </c>
      <c r="C571" s="14" t="s">
        <v>1524</v>
      </c>
      <c r="D571" s="214"/>
      <c r="E571" s="14" t="s">
        <v>1510</v>
      </c>
      <c r="F571" s="40" t="str">
        <f>IF(wskakunin_iken4__address="","",wskakunin_iken4__address)</f>
        <v/>
      </c>
      <c r="G571" s="15"/>
      <c r="I571" s="32"/>
      <c r="J571" s="32"/>
      <c r="K571" s="32"/>
      <c r="L571" s="32"/>
      <c r="M571" s="32"/>
      <c r="N571" s="32"/>
      <c r="O571" s="32"/>
      <c r="P571" s="32"/>
      <c r="Q571" s="32"/>
      <c r="R571" s="32"/>
      <c r="S571" s="32"/>
      <c r="T571" s="32"/>
      <c r="U571" s="32"/>
      <c r="V571" s="32"/>
    </row>
    <row r="572" spans="1:22" s="31" customFormat="1" ht="15" customHeight="1" x14ac:dyDescent="0.15">
      <c r="A572" s="35"/>
      <c r="B572" s="74" t="s">
        <v>650</v>
      </c>
      <c r="C572" s="14" t="s">
        <v>1525</v>
      </c>
      <c r="D572" s="214"/>
      <c r="E572" s="14" t="s">
        <v>1511</v>
      </c>
      <c r="F572" s="40" t="str">
        <f>IF(wskakunin_iken4_TEL="","",wskakunin_iken4_TEL)</f>
        <v/>
      </c>
      <c r="G572" s="15"/>
      <c r="I572" s="32"/>
      <c r="J572" s="32"/>
      <c r="K572" s="32"/>
      <c r="L572" s="32"/>
      <c r="M572" s="32"/>
      <c r="N572" s="32"/>
      <c r="O572" s="32"/>
      <c r="P572" s="32"/>
      <c r="Q572" s="32"/>
      <c r="R572" s="32"/>
      <c r="S572" s="32"/>
      <c r="T572" s="32"/>
      <c r="U572" s="32"/>
      <c r="V572" s="32"/>
    </row>
    <row r="573" spans="1:22" s="31" customFormat="1" ht="15" customHeight="1" x14ac:dyDescent="0.15">
      <c r="A573" s="35"/>
      <c r="B573" s="74" t="s">
        <v>651</v>
      </c>
      <c r="C573" s="14" t="s">
        <v>1526</v>
      </c>
      <c r="D573" s="214"/>
      <c r="E573" s="14" t="s">
        <v>1512</v>
      </c>
      <c r="F573" s="40" t="str">
        <f>IF(wskakunin_iken4_IKEN_NO="","",wskakunin_iken4_IKEN_NO)</f>
        <v/>
      </c>
      <c r="G573" s="15"/>
    </row>
    <row r="574" spans="1:22" s="15" customFormat="1" ht="15" customHeight="1" x14ac:dyDescent="0.15">
      <c r="A574" s="33"/>
      <c r="B574" s="75" t="s">
        <v>652</v>
      </c>
      <c r="C574" s="30" t="s">
        <v>1527</v>
      </c>
      <c r="D574" s="213"/>
      <c r="E574" s="30" t="s">
        <v>1513</v>
      </c>
      <c r="F574" s="141" t="str">
        <f>IF(wskakunin_iken4_DOC="","",wskakunin_iken4_DOC)</f>
        <v/>
      </c>
    </row>
    <row r="575" spans="1:22" s="15" customFormat="1" ht="15" customHeight="1" x14ac:dyDescent="0.15">
      <c r="A575" s="36" t="s">
        <v>2747</v>
      </c>
      <c r="B575" s="37"/>
      <c r="C575" s="29"/>
      <c r="D575" s="29"/>
      <c r="E575" s="29"/>
      <c r="F575" s="29"/>
    </row>
    <row r="576" spans="1:22" s="15" customFormat="1" ht="15" customHeight="1" x14ac:dyDescent="0.15">
      <c r="A576" s="35"/>
      <c r="B576" s="74" t="s">
        <v>735</v>
      </c>
      <c r="C576" s="14" t="s">
        <v>2748</v>
      </c>
      <c r="D576" s="214"/>
      <c r="E576" s="29" t="s">
        <v>2749</v>
      </c>
      <c r="F576" s="141" t="str">
        <f>IF(wskakunin_iken5_NAME="","",wskakunin_iken5_NAME)</f>
        <v/>
      </c>
    </row>
    <row r="577" spans="1:8" s="15" customFormat="1" ht="15" customHeight="1" x14ac:dyDescent="0.15">
      <c r="A577" s="35"/>
      <c r="B577" s="74" t="s">
        <v>736</v>
      </c>
      <c r="C577" s="14" t="s">
        <v>2750</v>
      </c>
      <c r="D577" s="214"/>
      <c r="E577" s="29" t="s">
        <v>2751</v>
      </c>
      <c r="F577" s="141" t="str">
        <f>IF(wskakunin_iken5_JIMU_NAME="","",wskakunin_iken5_JIMU_NAME)</f>
        <v/>
      </c>
    </row>
    <row r="578" spans="1:8" s="15" customFormat="1" ht="15" customHeight="1" x14ac:dyDescent="0.15">
      <c r="A578" s="35"/>
      <c r="B578" s="74" t="s">
        <v>621</v>
      </c>
      <c r="C578" s="14" t="s">
        <v>2752</v>
      </c>
      <c r="D578" s="214"/>
      <c r="E578" s="29" t="s">
        <v>2753</v>
      </c>
      <c r="F578" s="141" t="str">
        <f>IF(wskakunin_iken5_ZIP="","",wskakunin_iken5_ZIP)</f>
        <v/>
      </c>
    </row>
    <row r="579" spans="1:8" s="15" customFormat="1" ht="15" customHeight="1" x14ac:dyDescent="0.15">
      <c r="A579" s="35"/>
      <c r="B579" s="74" t="s">
        <v>737</v>
      </c>
      <c r="C579" s="14" t="s">
        <v>2754</v>
      </c>
      <c r="D579" s="214"/>
      <c r="E579" s="29" t="s">
        <v>2755</v>
      </c>
      <c r="F579" s="141" t="str">
        <f>IF(wskakunin_iken5__address="","",wskakunin_iken5__address)</f>
        <v/>
      </c>
    </row>
    <row r="580" spans="1:8" s="15" customFormat="1" ht="15" customHeight="1" x14ac:dyDescent="0.15">
      <c r="A580" s="35"/>
      <c r="B580" s="74" t="s">
        <v>650</v>
      </c>
      <c r="C580" s="14" t="s">
        <v>2756</v>
      </c>
      <c r="D580" s="214"/>
      <c r="E580" s="29" t="s">
        <v>2757</v>
      </c>
      <c r="F580" s="141" t="str">
        <f>IF(wskakunin_iken5_TEL="","",wskakunin_iken5_TEL)</f>
        <v/>
      </c>
    </row>
    <row r="581" spans="1:8" s="15" customFormat="1" ht="15" customHeight="1" x14ac:dyDescent="0.15">
      <c r="A581" s="35"/>
      <c r="B581" s="74" t="s">
        <v>651</v>
      </c>
      <c r="C581" s="14" t="s">
        <v>2758</v>
      </c>
      <c r="D581" s="214"/>
      <c r="E581" s="29" t="s">
        <v>2759</v>
      </c>
      <c r="F581" s="141" t="str">
        <f>IF(wskakunin_iken5_IKEN_NO="","",wskakunin_iken5_IKEN_NO)</f>
        <v/>
      </c>
    </row>
    <row r="582" spans="1:8" s="15" customFormat="1" ht="15" customHeight="1" x14ac:dyDescent="0.15">
      <c r="A582" s="33"/>
      <c r="B582" s="75" t="s">
        <v>652</v>
      </c>
      <c r="C582" s="30" t="s">
        <v>2760</v>
      </c>
      <c r="D582" s="214"/>
      <c r="E582" s="29" t="s">
        <v>2761</v>
      </c>
      <c r="F582" s="141" t="str">
        <f>IF(wskakunin_iken5_DOC="","",wskakunin_iken5_DOC)</f>
        <v/>
      </c>
    </row>
    <row r="583" spans="1:8" s="29" customFormat="1" ht="15" customHeight="1" x14ac:dyDescent="0.15">
      <c r="A583" s="194"/>
      <c r="B583" s="76"/>
      <c r="G583" s="15"/>
    </row>
    <row r="584" spans="1:8" ht="15" customHeight="1" x14ac:dyDescent="0.15">
      <c r="A584" s="1" t="s">
        <v>747</v>
      </c>
      <c r="B584" s="40" t="s">
        <v>908</v>
      </c>
      <c r="G584" s="15"/>
      <c r="H584" s="15"/>
    </row>
    <row r="585" spans="1:8" ht="15" customHeight="1" x14ac:dyDescent="0.15">
      <c r="A585" s="23"/>
      <c r="B585" s="67" t="s">
        <v>606</v>
      </c>
      <c r="C585" s="14" t="s">
        <v>909</v>
      </c>
      <c r="D585" s="141" t="s">
        <v>3458</v>
      </c>
      <c r="E585" s="14" t="s">
        <v>910</v>
      </c>
      <c r="F585" s="141" t="str">
        <f>IF(wskakunin_kanri1__sikaku="", "", wskakunin_kanri1__sikaku)</f>
        <v>一級建築士国土交通大臣登録第339014号</v>
      </c>
      <c r="G585" s="15"/>
      <c r="H585" s="15"/>
    </row>
    <row r="586" spans="1:8" ht="15" customHeight="1" x14ac:dyDescent="0.15">
      <c r="A586" s="23"/>
      <c r="B586" s="67" t="s">
        <v>607</v>
      </c>
      <c r="C586" s="14" t="s">
        <v>911</v>
      </c>
      <c r="D586" s="141" t="s">
        <v>176</v>
      </c>
      <c r="E586" s="14" t="s">
        <v>1534</v>
      </c>
      <c r="F586" s="141" t="str">
        <f>IF(wskakunin_kanri1_SIKAKU__label="", "", wskakunin_kanri1_SIKAKU__label)</f>
        <v>一級</v>
      </c>
      <c r="G586" s="15"/>
      <c r="H586" s="15"/>
    </row>
    <row r="587" spans="1:8" ht="15" customHeight="1" x14ac:dyDescent="0.15">
      <c r="A587" s="28"/>
      <c r="B587" s="73" t="s">
        <v>602</v>
      </c>
      <c r="C587" s="14" t="s">
        <v>1462</v>
      </c>
      <c r="D587" s="141" t="s">
        <v>3453</v>
      </c>
      <c r="E587" s="14" t="s">
        <v>912</v>
      </c>
      <c r="F587" s="141" t="str">
        <f>IF(wskakunin_kanri1_TOUROKU_KIKAN__label="","",wskakunin_kanri1_TOUROKU_KIKAN__label)</f>
        <v>国土交通大臣</v>
      </c>
      <c r="G587" s="15"/>
      <c r="H587" s="15"/>
    </row>
    <row r="588" spans="1:8" ht="15" customHeight="1" x14ac:dyDescent="0.15">
      <c r="A588" s="28"/>
      <c r="B588" s="73" t="s">
        <v>603</v>
      </c>
      <c r="C588" s="14" t="s">
        <v>913</v>
      </c>
      <c r="D588" s="213" t="s">
        <v>3461</v>
      </c>
      <c r="E588" s="14" t="s">
        <v>914</v>
      </c>
      <c r="F588" s="141" t="str">
        <f>IF(wskakunin_kanri1_KENTIKUSI_NO="","",wskakunin_kanri1_KENTIKUSI_NO)</f>
        <v>339014</v>
      </c>
      <c r="G588" s="15"/>
      <c r="H588" s="15"/>
    </row>
    <row r="589" spans="1:8" ht="15" customHeight="1" x14ac:dyDescent="0.15">
      <c r="A589" s="56"/>
      <c r="B589" s="67" t="s">
        <v>92</v>
      </c>
      <c r="C589" s="14" t="s">
        <v>915</v>
      </c>
      <c r="D589" s="141" t="s">
        <v>3462</v>
      </c>
      <c r="E589" s="14" t="s">
        <v>916</v>
      </c>
      <c r="F589" s="141" t="str">
        <f>IF(wskakunin_kanri1_NAME="", "", wskakunin_kanri1_NAME)</f>
        <v>白形　真</v>
      </c>
      <c r="G589" s="15"/>
      <c r="H589" s="15"/>
    </row>
    <row r="590" spans="1:8" ht="15" customHeight="1" x14ac:dyDescent="0.15">
      <c r="A590" s="56"/>
      <c r="B590" s="67" t="s">
        <v>608</v>
      </c>
      <c r="C590" s="14" t="s">
        <v>917</v>
      </c>
      <c r="D590" s="141" t="s">
        <v>3459</v>
      </c>
      <c r="E590" s="14" t="s">
        <v>918</v>
      </c>
      <c r="F590" s="141" t="str">
        <f>IF(wskakunin_kanri1_JIMU__sikaku="", "", wskakunin_kanri1_JIMU__sikaku)</f>
        <v>一級建築士事務所愛媛県知事登録第3002号</v>
      </c>
      <c r="G590" s="15"/>
      <c r="H590" s="15"/>
    </row>
    <row r="591" spans="1:8" ht="15" customHeight="1" x14ac:dyDescent="0.15">
      <c r="A591" s="40"/>
      <c r="B591" s="73" t="s">
        <v>93</v>
      </c>
      <c r="C591" s="14" t="s">
        <v>919</v>
      </c>
      <c r="D591" s="141" t="s">
        <v>176</v>
      </c>
      <c r="E591" s="14" t="s">
        <v>1535</v>
      </c>
      <c r="F591" s="141" t="str">
        <f>IF(wskakunin_kanri1_JIMU_SIKAKU__label="","",wskakunin_kanri1_JIMU_SIKAKU__label)</f>
        <v>一級</v>
      </c>
      <c r="G591" s="15"/>
      <c r="H591" s="15"/>
    </row>
    <row r="592" spans="1:8" ht="15" customHeight="1" x14ac:dyDescent="0.15">
      <c r="A592" s="40"/>
      <c r="B592" s="73" t="s">
        <v>609</v>
      </c>
      <c r="C592" s="14" t="s">
        <v>1463</v>
      </c>
      <c r="D592" s="141" t="s">
        <v>3460</v>
      </c>
      <c r="E592" s="14" t="s">
        <v>920</v>
      </c>
      <c r="F592" s="141" t="str">
        <f>IF(wskakunin_kanri1_JIMU_TOUROKU_KIKAN__label="","",wskakunin_kanri1_JIMU_TOUROKU_KIKAN__label)</f>
        <v>愛媛県</v>
      </c>
      <c r="G592" s="15"/>
      <c r="H592" s="15"/>
    </row>
    <row r="593" spans="1:8" ht="15" customHeight="1" x14ac:dyDescent="0.15">
      <c r="A593" s="40"/>
      <c r="B593" s="73" t="s">
        <v>610</v>
      </c>
      <c r="C593" s="14" t="s">
        <v>921</v>
      </c>
      <c r="D593" s="141">
        <v>3002</v>
      </c>
      <c r="E593" s="14" t="s">
        <v>922</v>
      </c>
      <c r="F593" s="141">
        <f>IF(wskakunin_kanri1_JIMU_NO="","",wskakunin_kanri1_JIMU_NO)</f>
        <v>3002</v>
      </c>
      <c r="G593" s="15"/>
      <c r="H593" s="15"/>
    </row>
    <row r="594" spans="1:8" ht="15" customHeight="1" x14ac:dyDescent="0.15">
      <c r="A594" s="56"/>
      <c r="B594" s="67" t="s">
        <v>94</v>
      </c>
      <c r="C594" s="14" t="s">
        <v>923</v>
      </c>
      <c r="D594" s="141" t="s">
        <v>3448</v>
      </c>
      <c r="E594" s="14" t="s">
        <v>924</v>
      </c>
      <c r="F594" s="141" t="str">
        <f>IF(wskakunin_kanri1_JIMU_NAME="", "", wskakunin_kanri1_JIMU_NAME)</f>
        <v>株式会社コラボハウス一級建築士事務所</v>
      </c>
      <c r="G594" s="15"/>
      <c r="H594" s="15"/>
    </row>
    <row r="595" spans="1:8" ht="15" customHeight="1" x14ac:dyDescent="0.15">
      <c r="A595" s="56"/>
      <c r="B595" s="67" t="s">
        <v>5</v>
      </c>
      <c r="C595" s="14" t="s">
        <v>925</v>
      </c>
      <c r="D595" s="213" t="s">
        <v>3464</v>
      </c>
      <c r="E595" s="14" t="s">
        <v>926</v>
      </c>
      <c r="F595" s="141" t="str">
        <f>IF(wskakunin_kanri1_ZIP="", "", wskakunin_kanri1_ZIP)</f>
        <v>790-0916</v>
      </c>
      <c r="G595" s="15"/>
      <c r="H595" s="15"/>
    </row>
    <row r="596" spans="1:8" ht="15" customHeight="1" x14ac:dyDescent="0.15">
      <c r="A596" s="56"/>
      <c r="B596" s="67"/>
      <c r="E596" s="14" t="s">
        <v>2814</v>
      </c>
      <c r="F596" s="141" t="str">
        <f>IF(wskakunin_kanri1_ZIP="","",LEFT(wskakunin_kanri1_ZIP,3)&amp;RIGHT(wskakunin_kanri1_ZIP,4))</f>
        <v>7900916</v>
      </c>
      <c r="G596" s="15"/>
      <c r="H596" s="15"/>
    </row>
    <row r="597" spans="1:8" ht="15" customHeight="1" x14ac:dyDescent="0.15">
      <c r="A597" s="56"/>
      <c r="B597" s="67" t="s">
        <v>8</v>
      </c>
      <c r="C597" s="14" t="s">
        <v>927</v>
      </c>
      <c r="D597" s="141" t="s">
        <v>3457</v>
      </c>
      <c r="E597" s="14" t="s">
        <v>928</v>
      </c>
      <c r="F597" s="141" t="str">
        <f>IF(wskakunin_kanri1__address="", "", wskakunin_kanri1__address)</f>
        <v>愛媛県松山市束本1丁目6-10　2F</v>
      </c>
      <c r="G597" s="15"/>
      <c r="H597" s="15"/>
    </row>
    <row r="598" spans="1:8" ht="15" customHeight="1" x14ac:dyDescent="0.15">
      <c r="A598" s="56"/>
      <c r="B598" s="67" t="s">
        <v>7</v>
      </c>
      <c r="C598" s="14" t="s">
        <v>929</v>
      </c>
      <c r="D598" s="213" t="s">
        <v>3463</v>
      </c>
      <c r="E598" s="14" t="s">
        <v>930</v>
      </c>
      <c r="F598" s="141" t="str">
        <f>IF(wskakunin_kanri1_TEL="", "", wskakunin_kanri1_TEL)</f>
        <v>089-947-1313</v>
      </c>
      <c r="G598" s="15"/>
      <c r="H598" s="15"/>
    </row>
    <row r="599" spans="1:8" ht="15" customHeight="1" x14ac:dyDescent="0.15">
      <c r="A599" s="56"/>
      <c r="B599" s="67" t="s">
        <v>728</v>
      </c>
      <c r="C599" s="14" t="s">
        <v>931</v>
      </c>
      <c r="D599" s="213" t="s">
        <v>550</v>
      </c>
      <c r="E599" s="14" t="s">
        <v>932</v>
      </c>
      <c r="F599" s="141" t="str">
        <f>IF(wskakunin_kanri1_DOC="","",wskakunin_kanri1_DOC)</f>
        <v>設計図書一式</v>
      </c>
      <c r="G599" s="15"/>
      <c r="H599" s="15"/>
    </row>
    <row r="600" spans="1:8" ht="15" customHeight="1" x14ac:dyDescent="0.15">
      <c r="A600" s="40"/>
      <c r="B600" s="70"/>
      <c r="G600" s="15"/>
      <c r="H600" s="15"/>
    </row>
    <row r="601" spans="1:8" ht="15" customHeight="1" x14ac:dyDescent="0.15">
      <c r="A601" s="41" t="s">
        <v>748</v>
      </c>
      <c r="B601" s="40" t="s">
        <v>2036</v>
      </c>
      <c r="G601" s="15"/>
      <c r="H601" s="15"/>
    </row>
    <row r="602" spans="1:8" ht="15" customHeight="1" x14ac:dyDescent="0.15">
      <c r="A602" s="23"/>
      <c r="B602" s="67" t="s">
        <v>606</v>
      </c>
      <c r="C602" s="14" t="s">
        <v>933</v>
      </c>
      <c r="D602" s="141"/>
      <c r="E602" s="14" t="s">
        <v>934</v>
      </c>
      <c r="F602" s="141" t="str">
        <f>IF(wskakunin_kanri2__sikaku="", "", wskakunin_kanri2__sikaku)</f>
        <v/>
      </c>
      <c r="G602" s="15"/>
      <c r="H602" s="15"/>
    </row>
    <row r="603" spans="1:8" ht="15" customHeight="1" x14ac:dyDescent="0.15">
      <c r="A603" s="23"/>
      <c r="B603" s="67" t="s">
        <v>607</v>
      </c>
      <c r="C603" s="14" t="s">
        <v>935</v>
      </c>
      <c r="D603" s="141"/>
      <c r="E603" s="14" t="s">
        <v>1536</v>
      </c>
      <c r="F603" s="141" t="str">
        <f>IF(wskakunin_kanri2_SIKAKU__label="", "", wskakunin_kanri2_SIKAKU__label)</f>
        <v/>
      </c>
      <c r="G603" s="15"/>
      <c r="H603" s="15"/>
    </row>
    <row r="604" spans="1:8" ht="15" customHeight="1" x14ac:dyDescent="0.15">
      <c r="A604" s="28"/>
      <c r="B604" s="73" t="s">
        <v>602</v>
      </c>
      <c r="C604" s="14" t="s">
        <v>1464</v>
      </c>
      <c r="D604" s="141"/>
      <c r="E604" s="14" t="s">
        <v>936</v>
      </c>
      <c r="F604" s="141" t="str">
        <f>IF(wskakunin_kanri2_TOUROKU_KIKAN__label="","",wskakunin_kanri2_TOUROKU_KIKAN__label)</f>
        <v/>
      </c>
      <c r="G604" s="15"/>
      <c r="H604" s="15"/>
    </row>
    <row r="605" spans="1:8" ht="15" customHeight="1" x14ac:dyDescent="0.15">
      <c r="A605" s="28"/>
      <c r="B605" s="73" t="s">
        <v>603</v>
      </c>
      <c r="C605" s="14" t="s">
        <v>937</v>
      </c>
      <c r="D605" s="213"/>
      <c r="E605" s="14" t="s">
        <v>938</v>
      </c>
      <c r="F605" s="141" t="str">
        <f>IF(wskakunin_kanri2_KENTIKUSI_NO="","",wskakunin_kanri2_KENTIKUSI_NO)</f>
        <v/>
      </c>
      <c r="G605" s="15"/>
      <c r="H605" s="15"/>
    </row>
    <row r="606" spans="1:8" ht="15" customHeight="1" x14ac:dyDescent="0.15">
      <c r="A606" s="56"/>
      <c r="B606" s="67" t="s">
        <v>92</v>
      </c>
      <c r="C606" s="14" t="s">
        <v>939</v>
      </c>
      <c r="D606" s="141"/>
      <c r="E606" s="14" t="s">
        <v>940</v>
      </c>
      <c r="F606" s="141" t="str">
        <f>IF(wskakunin_kanri2_NAME="", "", wskakunin_kanri2_NAME)</f>
        <v/>
      </c>
      <c r="G606" s="15"/>
      <c r="H606" s="15"/>
    </row>
    <row r="607" spans="1:8" ht="15" customHeight="1" x14ac:dyDescent="0.15">
      <c r="A607" s="56"/>
      <c r="B607" s="67" t="s">
        <v>608</v>
      </c>
      <c r="C607" s="14" t="s">
        <v>941</v>
      </c>
      <c r="D607" s="141"/>
      <c r="E607" s="14" t="s">
        <v>942</v>
      </c>
      <c r="F607" s="141" t="str">
        <f>IF(wskakunin_kanri2_JIMU__sikaku="", "", wskakunin_kanri2_JIMU__sikaku)</f>
        <v/>
      </c>
      <c r="G607" s="15"/>
      <c r="H607" s="15"/>
    </row>
    <row r="608" spans="1:8" ht="15" customHeight="1" x14ac:dyDescent="0.15">
      <c r="A608" s="40"/>
      <c r="B608" s="73" t="s">
        <v>93</v>
      </c>
      <c r="C608" s="14" t="s">
        <v>943</v>
      </c>
      <c r="D608" s="141"/>
      <c r="E608" s="14" t="s">
        <v>1537</v>
      </c>
      <c r="F608" s="141" t="str">
        <f>IF(wskakunin_kanri2_JIMU_SIKAKU__label="","",wskakunin_kanri2_JIMU_SIKAKU__label)</f>
        <v/>
      </c>
      <c r="G608" s="15"/>
      <c r="H608" s="15"/>
    </row>
    <row r="609" spans="1:8" ht="15" customHeight="1" x14ac:dyDescent="0.15">
      <c r="A609" s="40"/>
      <c r="B609" s="73" t="s">
        <v>609</v>
      </c>
      <c r="C609" s="14" t="s">
        <v>1465</v>
      </c>
      <c r="D609" s="141"/>
      <c r="E609" s="14" t="s">
        <v>944</v>
      </c>
      <c r="F609" s="141" t="str">
        <f>IF(wskakunin_kanri2_JIMU_TOUROKU_KIKAN__label="","",wskakunin_kanri2_JIMU_TOUROKU_KIKAN__label)</f>
        <v/>
      </c>
      <c r="G609" s="15"/>
      <c r="H609" s="15"/>
    </row>
    <row r="610" spans="1:8" ht="15" customHeight="1" x14ac:dyDescent="0.15">
      <c r="A610" s="40"/>
      <c r="B610" s="73" t="s">
        <v>610</v>
      </c>
      <c r="C610" s="14" t="s">
        <v>945</v>
      </c>
      <c r="D610" s="213"/>
      <c r="E610" s="14" t="s">
        <v>946</v>
      </c>
      <c r="F610" s="141" t="str">
        <f>IF(wskakunin_kanri2_JIMU_NO="","",wskakunin_kanri2_JIMU_NO)</f>
        <v/>
      </c>
      <c r="G610" s="15"/>
      <c r="H610" s="15"/>
    </row>
    <row r="611" spans="1:8" ht="15" customHeight="1" x14ac:dyDescent="0.15">
      <c r="A611" s="56"/>
      <c r="B611" s="67" t="s">
        <v>94</v>
      </c>
      <c r="C611" s="14" t="s">
        <v>947</v>
      </c>
      <c r="D611" s="141"/>
      <c r="E611" s="14" t="s">
        <v>948</v>
      </c>
      <c r="F611" s="141" t="str">
        <f>IF(wskakunin_kanri2_JIMU_NAME="", "", wskakunin_kanri2_JIMU_NAME)</f>
        <v/>
      </c>
      <c r="G611" s="15"/>
      <c r="H611" s="15"/>
    </row>
    <row r="612" spans="1:8" ht="15" customHeight="1" x14ac:dyDescent="0.15">
      <c r="A612" s="56"/>
      <c r="B612" s="67" t="s">
        <v>5</v>
      </c>
      <c r="C612" s="14" t="s">
        <v>949</v>
      </c>
      <c r="D612" s="213"/>
      <c r="E612" s="14" t="s">
        <v>950</v>
      </c>
      <c r="F612" s="141" t="str">
        <f>IF(wskakunin_kanri2_ZIP="", "", wskakunin_kanri2_ZIP)</f>
        <v/>
      </c>
      <c r="G612" s="15"/>
      <c r="H612" s="15"/>
    </row>
    <row r="613" spans="1:8" ht="15" customHeight="1" x14ac:dyDescent="0.15">
      <c r="A613" s="56"/>
      <c r="B613" s="67" t="s">
        <v>8</v>
      </c>
      <c r="C613" s="14" t="s">
        <v>951</v>
      </c>
      <c r="D613" s="141"/>
      <c r="E613" s="14" t="s">
        <v>952</v>
      </c>
      <c r="F613" s="141" t="str">
        <f>IF(wskakunin_kanri2__address="", "", wskakunin_kanri2__address)</f>
        <v/>
      </c>
      <c r="G613" s="15"/>
      <c r="H613" s="15"/>
    </row>
    <row r="614" spans="1:8" ht="15" customHeight="1" x14ac:dyDescent="0.15">
      <c r="A614" s="56"/>
      <c r="B614" s="67" t="s">
        <v>7</v>
      </c>
      <c r="C614" s="14" t="s">
        <v>953</v>
      </c>
      <c r="D614" s="213"/>
      <c r="E614" s="14" t="s">
        <v>954</v>
      </c>
      <c r="F614" s="141" t="str">
        <f>IF(wskakunin_kanri2_TEL="", "", wskakunin_kanri2_TEL)</f>
        <v/>
      </c>
      <c r="G614" s="15"/>
      <c r="H614" s="15"/>
    </row>
    <row r="615" spans="1:8" ht="15" customHeight="1" x14ac:dyDescent="0.15">
      <c r="A615" s="56"/>
      <c r="B615" s="67" t="s">
        <v>728</v>
      </c>
      <c r="C615" s="14" t="s">
        <v>955</v>
      </c>
      <c r="D615" s="213"/>
      <c r="E615" s="14" t="s">
        <v>956</v>
      </c>
      <c r="F615" s="141" t="str">
        <f>IF(wskakunin_kanri2_DOC="","",wskakunin_kanri2_DOC)</f>
        <v/>
      </c>
      <c r="G615" s="15"/>
      <c r="H615" s="15"/>
    </row>
    <row r="616" spans="1:8" ht="15" customHeight="1" x14ac:dyDescent="0.15">
      <c r="A616" s="100"/>
      <c r="B616" s="70"/>
      <c r="G616" s="15"/>
      <c r="H616" s="15"/>
    </row>
    <row r="617" spans="1:8" ht="15" customHeight="1" x14ac:dyDescent="0.15">
      <c r="A617" s="41" t="s">
        <v>749</v>
      </c>
      <c r="B617" s="40" t="s">
        <v>2036</v>
      </c>
      <c r="G617" s="15"/>
      <c r="H617" s="15"/>
    </row>
    <row r="618" spans="1:8" ht="15" customHeight="1" x14ac:dyDescent="0.15">
      <c r="A618" s="23"/>
      <c r="B618" s="67" t="s">
        <v>606</v>
      </c>
      <c r="C618" s="14" t="s">
        <v>957</v>
      </c>
      <c r="D618" s="141"/>
      <c r="E618" s="14" t="s">
        <v>958</v>
      </c>
      <c r="F618" s="141" t="str">
        <f>IF(wskakunin_kanri3__sikaku="", "", wskakunin_kanri3__sikaku)</f>
        <v/>
      </c>
      <c r="G618" s="15"/>
      <c r="H618" s="15"/>
    </row>
    <row r="619" spans="1:8" ht="15" customHeight="1" x14ac:dyDescent="0.15">
      <c r="A619" s="23"/>
      <c r="B619" s="67" t="s">
        <v>607</v>
      </c>
      <c r="C619" s="14" t="s">
        <v>959</v>
      </c>
      <c r="D619" s="141"/>
      <c r="E619" s="14" t="s">
        <v>1538</v>
      </c>
      <c r="F619" s="141" t="str">
        <f>IF(wskakunin_kanri3_SIKAKU__label="", "", wskakunin_kanri3_SIKAKU__label)</f>
        <v/>
      </c>
      <c r="G619" s="15"/>
      <c r="H619" s="15"/>
    </row>
    <row r="620" spans="1:8" ht="15" customHeight="1" x14ac:dyDescent="0.15">
      <c r="A620" s="28"/>
      <c r="B620" s="73" t="s">
        <v>602</v>
      </c>
      <c r="C620" s="14" t="s">
        <v>1466</v>
      </c>
      <c r="D620" s="141"/>
      <c r="E620" s="14" t="s">
        <v>960</v>
      </c>
      <c r="F620" s="141" t="str">
        <f>IF(wskakunin_kanri3_TOUROKU_KIKAN__label="","",wskakunin_kanri3_TOUROKU_KIKAN__label)</f>
        <v/>
      </c>
      <c r="G620" s="15"/>
      <c r="H620" s="15"/>
    </row>
    <row r="621" spans="1:8" ht="15" customHeight="1" x14ac:dyDescent="0.15">
      <c r="A621" s="28"/>
      <c r="B621" s="73" t="s">
        <v>603</v>
      </c>
      <c r="C621" s="14" t="s">
        <v>961</v>
      </c>
      <c r="D621" s="213"/>
      <c r="E621" s="14" t="s">
        <v>962</v>
      </c>
      <c r="F621" s="141" t="str">
        <f>IF(wskakunin_kanri3_KENTIKUSI_NO="","",wskakunin_kanri3_KENTIKUSI_NO)</f>
        <v/>
      </c>
      <c r="G621" s="15"/>
      <c r="H621" s="15"/>
    </row>
    <row r="622" spans="1:8" ht="15" customHeight="1" x14ac:dyDescent="0.15">
      <c r="A622" s="56"/>
      <c r="B622" s="67" t="s">
        <v>92</v>
      </c>
      <c r="C622" s="14" t="s">
        <v>963</v>
      </c>
      <c r="D622" s="141"/>
      <c r="E622" s="14" t="s">
        <v>964</v>
      </c>
      <c r="F622" s="141" t="str">
        <f>IF(wskakunin_kanri3_NAME="", "", wskakunin_kanri3_NAME)</f>
        <v/>
      </c>
      <c r="G622" s="15"/>
      <c r="H622" s="15"/>
    </row>
    <row r="623" spans="1:8" ht="15" customHeight="1" x14ac:dyDescent="0.15">
      <c r="A623" s="56"/>
      <c r="B623" s="67" t="s">
        <v>608</v>
      </c>
      <c r="C623" s="14" t="s">
        <v>965</v>
      </c>
      <c r="D623" s="141"/>
      <c r="E623" s="14" t="s">
        <v>966</v>
      </c>
      <c r="F623" s="141" t="str">
        <f>IF(wskakunin_kanri3_JIMU__sikaku="", "", wskakunin_kanri3_JIMU__sikaku)</f>
        <v/>
      </c>
      <c r="G623" s="15"/>
      <c r="H623" s="15"/>
    </row>
    <row r="624" spans="1:8" ht="15" customHeight="1" x14ac:dyDescent="0.15">
      <c r="A624" s="40"/>
      <c r="B624" s="73" t="s">
        <v>93</v>
      </c>
      <c r="C624" s="14" t="s">
        <v>967</v>
      </c>
      <c r="D624" s="141"/>
      <c r="E624" s="14" t="s">
        <v>1539</v>
      </c>
      <c r="F624" s="141" t="str">
        <f>IF(wskakunin_kanri3_JIMU_SIKAKU__label="","",wskakunin_kanri3_JIMU_SIKAKU__label)</f>
        <v/>
      </c>
      <c r="G624" s="15"/>
      <c r="H624" s="15"/>
    </row>
    <row r="625" spans="1:8" ht="15" customHeight="1" x14ac:dyDescent="0.15">
      <c r="A625" s="40"/>
      <c r="B625" s="73" t="s">
        <v>609</v>
      </c>
      <c r="C625" s="14" t="s">
        <v>1467</v>
      </c>
      <c r="D625" s="141"/>
      <c r="E625" s="14" t="s">
        <v>968</v>
      </c>
      <c r="F625" s="141" t="str">
        <f>IF(wskakunin_kanri3_JIMU_TOUROKU_KIKAN__label="","",wskakunin_kanri3_JIMU_TOUROKU_KIKAN__label)</f>
        <v/>
      </c>
      <c r="G625" s="15"/>
      <c r="H625" s="15"/>
    </row>
    <row r="626" spans="1:8" ht="15" customHeight="1" x14ac:dyDescent="0.15">
      <c r="A626" s="40"/>
      <c r="B626" s="73" t="s">
        <v>610</v>
      </c>
      <c r="C626" s="14" t="s">
        <v>969</v>
      </c>
      <c r="D626" s="213"/>
      <c r="E626" s="14" t="s">
        <v>970</v>
      </c>
      <c r="F626" s="141" t="str">
        <f>IF(wskakunin_kanri3_JIMU_NO="","",wskakunin_kanri3_JIMU_NO)</f>
        <v/>
      </c>
      <c r="G626" s="15"/>
      <c r="H626" s="15"/>
    </row>
    <row r="627" spans="1:8" ht="15" customHeight="1" x14ac:dyDescent="0.15">
      <c r="A627" s="56"/>
      <c r="B627" s="67" t="s">
        <v>94</v>
      </c>
      <c r="C627" s="14" t="s">
        <v>971</v>
      </c>
      <c r="D627" s="141"/>
      <c r="E627" s="14" t="s">
        <v>972</v>
      </c>
      <c r="F627" s="141" t="str">
        <f>IF(wskakunin_kanri3_JIMU_NAME="", "", wskakunin_kanri3_JIMU_NAME)</f>
        <v/>
      </c>
      <c r="G627" s="15"/>
      <c r="H627" s="15"/>
    </row>
    <row r="628" spans="1:8" ht="15" customHeight="1" x14ac:dyDescent="0.15">
      <c r="A628" s="56"/>
      <c r="B628" s="67" t="s">
        <v>5</v>
      </c>
      <c r="C628" s="14" t="s">
        <v>973</v>
      </c>
      <c r="D628" s="213"/>
      <c r="E628" s="14" t="s">
        <v>974</v>
      </c>
      <c r="F628" s="141" t="str">
        <f>IF(wskakunin_kanri3_ZIP="", "", wskakunin_kanri3_ZIP)</f>
        <v/>
      </c>
      <c r="G628" s="15"/>
      <c r="H628" s="15"/>
    </row>
    <row r="629" spans="1:8" ht="15" customHeight="1" x14ac:dyDescent="0.15">
      <c r="A629" s="56"/>
      <c r="B629" s="67" t="s">
        <v>8</v>
      </c>
      <c r="C629" s="14" t="s">
        <v>975</v>
      </c>
      <c r="D629" s="141"/>
      <c r="E629" s="14" t="s">
        <v>976</v>
      </c>
      <c r="F629" s="141" t="str">
        <f>IF(wskakunin_kanri3__address="", "", wskakunin_kanri3__address)</f>
        <v/>
      </c>
      <c r="G629" s="15"/>
      <c r="H629" s="15"/>
    </row>
    <row r="630" spans="1:8" ht="15" customHeight="1" x14ac:dyDescent="0.15">
      <c r="A630" s="56"/>
      <c r="B630" s="67" t="s">
        <v>7</v>
      </c>
      <c r="C630" s="14" t="s">
        <v>977</v>
      </c>
      <c r="D630" s="213"/>
      <c r="E630" s="14" t="s">
        <v>978</v>
      </c>
      <c r="F630" s="141" t="str">
        <f>IF(wskakunin_kanri3_TEL="", "", wskakunin_kanri3_TEL)</f>
        <v/>
      </c>
      <c r="G630" s="15"/>
      <c r="H630" s="15"/>
    </row>
    <row r="631" spans="1:8" ht="15" customHeight="1" x14ac:dyDescent="0.15">
      <c r="A631" s="56"/>
      <c r="B631" s="67" t="s">
        <v>728</v>
      </c>
      <c r="C631" s="14" t="s">
        <v>979</v>
      </c>
      <c r="D631" s="213"/>
      <c r="E631" s="14" t="s">
        <v>980</v>
      </c>
      <c r="F631" s="141" t="str">
        <f>IF(wskakunin_kanri3_DOC="","",wskakunin_kanri3_DOC)</f>
        <v/>
      </c>
      <c r="G631" s="15"/>
      <c r="H631" s="15"/>
    </row>
    <row r="632" spans="1:8" ht="15" customHeight="1" x14ac:dyDescent="0.15">
      <c r="A632" s="40"/>
      <c r="B632" s="70"/>
      <c r="G632" s="15"/>
      <c r="H632" s="15"/>
    </row>
    <row r="633" spans="1:8" ht="15" customHeight="1" x14ac:dyDescent="0.15">
      <c r="A633" s="41" t="s">
        <v>750</v>
      </c>
      <c r="B633" s="40" t="s">
        <v>2036</v>
      </c>
      <c r="G633" s="15"/>
      <c r="H633" s="15"/>
    </row>
    <row r="634" spans="1:8" ht="15" customHeight="1" x14ac:dyDescent="0.15">
      <c r="A634" s="23"/>
      <c r="B634" s="67" t="s">
        <v>606</v>
      </c>
      <c r="C634" s="14" t="s">
        <v>981</v>
      </c>
      <c r="D634" s="141"/>
      <c r="E634" s="14" t="s">
        <v>982</v>
      </c>
      <c r="F634" s="141" t="str">
        <f>IF(wskakunin_kanri4__sikaku="", "", wskakunin_kanri4__sikaku)</f>
        <v/>
      </c>
      <c r="G634" s="15"/>
      <c r="H634" s="15"/>
    </row>
    <row r="635" spans="1:8" ht="15" customHeight="1" x14ac:dyDescent="0.15">
      <c r="A635" s="23"/>
      <c r="B635" s="67" t="s">
        <v>607</v>
      </c>
      <c r="C635" s="14" t="s">
        <v>983</v>
      </c>
      <c r="D635" s="141"/>
      <c r="E635" s="14" t="s">
        <v>1540</v>
      </c>
      <c r="F635" s="141" t="str">
        <f>IF(wskakunin_kanri4_SIKAKU__label="", "", wskakunin_kanri4_SIKAKU__label)</f>
        <v/>
      </c>
      <c r="G635" s="15"/>
      <c r="H635" s="15"/>
    </row>
    <row r="636" spans="1:8" ht="15" customHeight="1" x14ac:dyDescent="0.15">
      <c r="A636" s="28"/>
      <c r="B636" s="73" t="s">
        <v>602</v>
      </c>
      <c r="C636" s="14" t="s">
        <v>1468</v>
      </c>
      <c r="D636" s="141"/>
      <c r="E636" s="14" t="s">
        <v>984</v>
      </c>
      <c r="F636" s="141" t="str">
        <f>IF(wskakunin_kanri4_TOUROKU_KIKAN__label="","",wskakunin_kanri4_TOUROKU_KIKAN__label)</f>
        <v/>
      </c>
      <c r="G636" s="15"/>
      <c r="H636" s="15"/>
    </row>
    <row r="637" spans="1:8" ht="15" customHeight="1" x14ac:dyDescent="0.15">
      <c r="A637" s="28"/>
      <c r="B637" s="73" t="s">
        <v>603</v>
      </c>
      <c r="C637" s="14" t="s">
        <v>985</v>
      </c>
      <c r="D637" s="213"/>
      <c r="E637" s="14" t="s">
        <v>986</v>
      </c>
      <c r="F637" s="141" t="str">
        <f>IF(wskakunin_kanri4_KENTIKUSI_NO="","",wskakunin_kanri4_KENTIKUSI_NO)</f>
        <v/>
      </c>
      <c r="G637" s="15"/>
      <c r="H637" s="15"/>
    </row>
    <row r="638" spans="1:8" ht="15" customHeight="1" x14ac:dyDescent="0.15">
      <c r="A638" s="56"/>
      <c r="B638" s="67" t="s">
        <v>92</v>
      </c>
      <c r="C638" s="14" t="s">
        <v>987</v>
      </c>
      <c r="D638" s="141"/>
      <c r="E638" s="14" t="s">
        <v>988</v>
      </c>
      <c r="F638" s="141" t="str">
        <f>IF(wskakunin_kanri4_NAME="", "", wskakunin_kanri4_NAME)</f>
        <v/>
      </c>
      <c r="G638" s="15"/>
      <c r="H638" s="15"/>
    </row>
    <row r="639" spans="1:8" ht="15" customHeight="1" x14ac:dyDescent="0.15">
      <c r="A639" s="56"/>
      <c r="B639" s="67" t="s">
        <v>608</v>
      </c>
      <c r="C639" s="14" t="s">
        <v>989</v>
      </c>
      <c r="D639" s="141"/>
      <c r="E639" s="14" t="s">
        <v>990</v>
      </c>
      <c r="F639" s="141" t="str">
        <f>IF(wskakunin_kanri4_JIMU__sikaku="", "", wskakunin_kanri4_JIMU__sikaku)</f>
        <v/>
      </c>
      <c r="G639" s="15"/>
      <c r="H639" s="15"/>
    </row>
    <row r="640" spans="1:8" ht="15" customHeight="1" x14ac:dyDescent="0.15">
      <c r="A640" s="40"/>
      <c r="B640" s="73" t="s">
        <v>93</v>
      </c>
      <c r="C640" s="14" t="s">
        <v>991</v>
      </c>
      <c r="D640" s="141"/>
      <c r="E640" s="14" t="s">
        <v>1533</v>
      </c>
      <c r="F640" s="141" t="str">
        <f>IF(wskakunin_kanri4_JIMU_SIKAKU__label="","",wskakunin_kanri4_JIMU_SIKAKU__label)</f>
        <v/>
      </c>
      <c r="G640" s="15"/>
      <c r="H640" s="15"/>
    </row>
    <row r="641" spans="1:8" ht="15" customHeight="1" x14ac:dyDescent="0.15">
      <c r="A641" s="40"/>
      <c r="B641" s="73" t="s">
        <v>609</v>
      </c>
      <c r="C641" s="14" t="s">
        <v>1469</v>
      </c>
      <c r="D641" s="141"/>
      <c r="E641" s="14" t="s">
        <v>992</v>
      </c>
      <c r="F641" s="141" t="str">
        <f>IF(wskakunin_kanri4_JIMU_TOUROKU_KIKAN__label="","",wskakunin_kanri4_JIMU_TOUROKU_KIKAN__label)</f>
        <v/>
      </c>
      <c r="G641" s="15"/>
      <c r="H641" s="15"/>
    </row>
    <row r="642" spans="1:8" ht="15" customHeight="1" x14ac:dyDescent="0.15">
      <c r="A642" s="40"/>
      <c r="B642" s="73" t="s">
        <v>610</v>
      </c>
      <c r="C642" s="14" t="s">
        <v>993</v>
      </c>
      <c r="D642" s="213"/>
      <c r="E642" s="14" t="s">
        <v>994</v>
      </c>
      <c r="F642" s="141" t="str">
        <f>IF(wskakunin_kanri4_JIMU_NO="","",wskakunin_kanri4_JIMU_NO)</f>
        <v/>
      </c>
      <c r="G642" s="15"/>
      <c r="H642" s="15"/>
    </row>
    <row r="643" spans="1:8" ht="15" customHeight="1" x14ac:dyDescent="0.15">
      <c r="A643" s="56"/>
      <c r="B643" s="67" t="s">
        <v>94</v>
      </c>
      <c r="C643" s="14" t="s">
        <v>995</v>
      </c>
      <c r="D643" s="141"/>
      <c r="E643" s="14" t="s">
        <v>996</v>
      </c>
      <c r="F643" s="141" t="str">
        <f>IF(wskakunin_kanri4_JIMU_NAME="", "", wskakunin_kanri4_JIMU_NAME)</f>
        <v/>
      </c>
      <c r="G643" s="15"/>
      <c r="H643" s="15"/>
    </row>
    <row r="644" spans="1:8" ht="15" customHeight="1" x14ac:dyDescent="0.15">
      <c r="A644" s="56"/>
      <c r="B644" s="67" t="s">
        <v>5</v>
      </c>
      <c r="C644" s="14" t="s">
        <v>997</v>
      </c>
      <c r="D644" s="213"/>
      <c r="E644" s="14" t="s">
        <v>998</v>
      </c>
      <c r="F644" s="141" t="str">
        <f>IF(wskakunin_kanri4_ZIP="", "", wskakunin_kanri4_ZIP)</f>
        <v/>
      </c>
      <c r="G644" s="15"/>
      <c r="H644" s="15"/>
    </row>
    <row r="645" spans="1:8" ht="15" customHeight="1" x14ac:dyDescent="0.15">
      <c r="A645" s="56"/>
      <c r="B645" s="67" t="s">
        <v>8</v>
      </c>
      <c r="C645" s="14" t="s">
        <v>999</v>
      </c>
      <c r="D645" s="141"/>
      <c r="E645" s="14" t="s">
        <v>1000</v>
      </c>
      <c r="F645" s="141" t="str">
        <f>IF(wskakunin_kanri4__address="", "", wskakunin_kanri4__address)</f>
        <v/>
      </c>
      <c r="G645" s="15"/>
      <c r="H645" s="15"/>
    </row>
    <row r="646" spans="1:8" ht="15" customHeight="1" x14ac:dyDescent="0.15">
      <c r="A646" s="56"/>
      <c r="B646" s="67" t="s">
        <v>7</v>
      </c>
      <c r="C646" s="14" t="s">
        <v>1001</v>
      </c>
      <c r="D646" s="213"/>
      <c r="E646" s="14" t="s">
        <v>1002</v>
      </c>
      <c r="F646" s="141" t="str">
        <f>IF(wskakunin_kanri4_TEL="", "", wskakunin_kanri4_TEL)</f>
        <v/>
      </c>
      <c r="G646" s="15"/>
      <c r="H646" s="15"/>
    </row>
    <row r="647" spans="1:8" ht="15" customHeight="1" x14ac:dyDescent="0.15">
      <c r="A647" s="56"/>
      <c r="B647" s="67" t="s">
        <v>728</v>
      </c>
      <c r="C647" s="14" t="s">
        <v>1003</v>
      </c>
      <c r="D647" s="213"/>
      <c r="E647" s="14" t="s">
        <v>1004</v>
      </c>
      <c r="F647" s="141" t="str">
        <f>IF(wskakunin_kanri4_DOC="","",wskakunin_kanri4_DOC)</f>
        <v/>
      </c>
      <c r="G647" s="15"/>
      <c r="H647" s="15"/>
    </row>
    <row r="648" spans="1:8" ht="15" customHeight="1" x14ac:dyDescent="0.15">
      <c r="A648" s="40"/>
      <c r="B648" s="71"/>
      <c r="G648" s="15"/>
      <c r="H648" s="15"/>
    </row>
    <row r="649" spans="1:8" ht="15" customHeight="1" x14ac:dyDescent="0.15">
      <c r="A649" s="41" t="s">
        <v>2233</v>
      </c>
      <c r="B649" s="40" t="s">
        <v>2036</v>
      </c>
      <c r="G649" s="15"/>
      <c r="H649" s="15"/>
    </row>
    <row r="650" spans="1:8" ht="15" customHeight="1" x14ac:dyDescent="0.15">
      <c r="A650" s="23"/>
      <c r="B650" s="67" t="s">
        <v>606</v>
      </c>
      <c r="C650" s="14" t="s">
        <v>2037</v>
      </c>
      <c r="D650" s="141"/>
      <c r="E650" s="14" t="s">
        <v>2038</v>
      </c>
      <c r="F650" s="141" t="str">
        <f>IF(wskakunin_kanri5__sikaku="", "", wskakunin_kanri5__sikaku)</f>
        <v/>
      </c>
      <c r="H650" s="15"/>
    </row>
    <row r="651" spans="1:8" ht="15" customHeight="1" x14ac:dyDescent="0.15">
      <c r="A651" s="23"/>
      <c r="B651" s="67" t="s">
        <v>607</v>
      </c>
      <c r="C651" s="14" t="s">
        <v>2039</v>
      </c>
      <c r="D651" s="141"/>
      <c r="E651" s="14" t="s">
        <v>2040</v>
      </c>
      <c r="F651" s="141" t="str">
        <f>IF(wskakunin_kanri5_SIKAKU__label="", "", wskakunin_kanri5_SIKAKU__label)</f>
        <v/>
      </c>
      <c r="H651" s="15"/>
    </row>
    <row r="652" spans="1:8" ht="15" customHeight="1" x14ac:dyDescent="0.15">
      <c r="A652" s="28"/>
      <c r="B652" s="73" t="s">
        <v>602</v>
      </c>
      <c r="C652" s="14" t="s">
        <v>2041</v>
      </c>
      <c r="D652" s="141"/>
      <c r="E652" s="14" t="s">
        <v>2042</v>
      </c>
      <c r="F652" s="141" t="str">
        <f>IF(wskakunin_kanri5_TOUROKU_KIKAN__label="","",wskakunin_kanri5_TOUROKU_KIKAN__label)</f>
        <v/>
      </c>
      <c r="H652" s="15"/>
    </row>
    <row r="653" spans="1:8" ht="15" customHeight="1" x14ac:dyDescent="0.15">
      <c r="A653" s="28"/>
      <c r="B653" s="73" t="s">
        <v>603</v>
      </c>
      <c r="C653" s="14" t="s">
        <v>2043</v>
      </c>
      <c r="D653" s="213"/>
      <c r="E653" s="14" t="s">
        <v>2044</v>
      </c>
      <c r="F653" s="141" t="str">
        <f>IF(wskakunin_kanri5_KENTIKUSI_NO="","",wskakunin_kanri5_KENTIKUSI_NO)</f>
        <v/>
      </c>
      <c r="H653" s="15"/>
    </row>
    <row r="654" spans="1:8" ht="15" customHeight="1" x14ac:dyDescent="0.15">
      <c r="A654" s="56"/>
      <c r="B654" s="67" t="s">
        <v>92</v>
      </c>
      <c r="C654" s="14" t="s">
        <v>2045</v>
      </c>
      <c r="D654" s="141"/>
      <c r="E654" s="14" t="s">
        <v>2046</v>
      </c>
      <c r="F654" s="141" t="str">
        <f>IF(wskakunin_kanri5_NAME="", "", wskakunin_kanri5_NAME)</f>
        <v/>
      </c>
      <c r="H654" s="15"/>
    </row>
    <row r="655" spans="1:8" ht="15" customHeight="1" x14ac:dyDescent="0.15">
      <c r="A655" s="56"/>
      <c r="B655" s="67" t="s">
        <v>608</v>
      </c>
      <c r="C655" s="14" t="s">
        <v>2047</v>
      </c>
      <c r="D655" s="141"/>
      <c r="E655" s="14" t="s">
        <v>2048</v>
      </c>
      <c r="F655" s="141" t="str">
        <f>IF(wskakunin_kanri5_JIMU__sikaku="", "", wskakunin_kanri5_JIMU__sikaku)</f>
        <v/>
      </c>
      <c r="H655" s="15"/>
    </row>
    <row r="656" spans="1:8" ht="15" customHeight="1" x14ac:dyDescent="0.15">
      <c r="A656" s="40"/>
      <c r="B656" s="73" t="s">
        <v>93</v>
      </c>
      <c r="C656" s="14" t="s">
        <v>2049</v>
      </c>
      <c r="D656" s="141"/>
      <c r="E656" s="14" t="s">
        <v>2050</v>
      </c>
      <c r="F656" s="141" t="str">
        <f>IF(wskakunin_kanri5_JIMU_SIKAKU__label="","",wskakunin_kanri5_JIMU_SIKAKU__label)</f>
        <v/>
      </c>
      <c r="H656" s="15"/>
    </row>
    <row r="657" spans="1:8" ht="15" customHeight="1" x14ac:dyDescent="0.15">
      <c r="A657" s="40"/>
      <c r="B657" s="73" t="s">
        <v>609</v>
      </c>
      <c r="C657" s="14" t="s">
        <v>2051</v>
      </c>
      <c r="D657" s="141"/>
      <c r="E657" s="14" t="s">
        <v>2052</v>
      </c>
      <c r="F657" s="141" t="str">
        <f>IF(wskakunin_kanri5_JIMU_TOUROKU_KIKAN__label="","",wskakunin_kanri5_JIMU_TOUROKU_KIKAN__label)</f>
        <v/>
      </c>
      <c r="H657" s="15"/>
    </row>
    <row r="658" spans="1:8" ht="15" customHeight="1" x14ac:dyDescent="0.15">
      <c r="A658" s="40"/>
      <c r="B658" s="73" t="s">
        <v>610</v>
      </c>
      <c r="C658" s="14" t="s">
        <v>2053</v>
      </c>
      <c r="D658" s="213"/>
      <c r="E658" s="14" t="s">
        <v>2054</v>
      </c>
      <c r="F658" s="141" t="str">
        <f>IF(wskakunin_kanri5_JIMU_NO="","",wskakunin_kanri5_JIMU_NO)</f>
        <v/>
      </c>
      <c r="H658" s="15"/>
    </row>
    <row r="659" spans="1:8" ht="15" customHeight="1" x14ac:dyDescent="0.15">
      <c r="A659" s="56"/>
      <c r="B659" s="67" t="s">
        <v>94</v>
      </c>
      <c r="C659" s="14" t="s">
        <v>2055</v>
      </c>
      <c r="D659" s="141"/>
      <c r="E659" s="14" t="s">
        <v>2056</v>
      </c>
      <c r="F659" s="141" t="str">
        <f>IF(wskakunin_kanri5_JIMU_NAME="", "", wskakunin_kanri5_JIMU_NAME)</f>
        <v/>
      </c>
      <c r="H659" s="15"/>
    </row>
    <row r="660" spans="1:8" ht="15" customHeight="1" x14ac:dyDescent="0.15">
      <c r="A660" s="56"/>
      <c r="B660" s="67" t="s">
        <v>5</v>
      </c>
      <c r="C660" s="14" t="s">
        <v>2057</v>
      </c>
      <c r="D660" s="213"/>
      <c r="E660" s="14" t="s">
        <v>2058</v>
      </c>
      <c r="F660" s="141" t="str">
        <f>IF(wskakunin_kanri5_ZIP="", "", wskakunin_kanri5_ZIP)</f>
        <v/>
      </c>
      <c r="H660" s="15"/>
    </row>
    <row r="661" spans="1:8" ht="15" customHeight="1" x14ac:dyDescent="0.15">
      <c r="A661" s="56"/>
      <c r="B661" s="67" t="s">
        <v>8</v>
      </c>
      <c r="C661" s="14" t="s">
        <v>2059</v>
      </c>
      <c r="D661" s="141"/>
      <c r="E661" s="14" t="s">
        <v>2060</v>
      </c>
      <c r="F661" s="141" t="str">
        <f>IF(wskakunin_kanri5__address="", "", wskakunin_kanri5__address)</f>
        <v/>
      </c>
      <c r="H661" s="15"/>
    </row>
    <row r="662" spans="1:8" ht="15" customHeight="1" x14ac:dyDescent="0.15">
      <c r="A662" s="56"/>
      <c r="B662" s="67" t="s">
        <v>7</v>
      </c>
      <c r="C662" s="14" t="s">
        <v>2061</v>
      </c>
      <c r="D662" s="213"/>
      <c r="E662" s="14" t="s">
        <v>2062</v>
      </c>
      <c r="F662" s="141" t="str">
        <f>IF(wskakunin_kanri5_TEL="", "", wskakunin_kanri5_TEL)</f>
        <v/>
      </c>
      <c r="H662" s="15"/>
    </row>
    <row r="663" spans="1:8" ht="15" customHeight="1" x14ac:dyDescent="0.15">
      <c r="A663" s="56"/>
      <c r="B663" s="67" t="s">
        <v>728</v>
      </c>
      <c r="C663" s="14" t="s">
        <v>2063</v>
      </c>
      <c r="D663" s="213"/>
      <c r="E663" s="14" t="s">
        <v>2064</v>
      </c>
      <c r="F663" s="141" t="str">
        <f>IF(wskakunin_kanri5_DOC="","",wskakunin_kanri5_DOC)</f>
        <v/>
      </c>
      <c r="H663" s="15"/>
    </row>
    <row r="664" spans="1:8" ht="15" customHeight="1" x14ac:dyDescent="0.15">
      <c r="A664" s="40"/>
      <c r="B664" s="70"/>
      <c r="H664" s="15"/>
    </row>
    <row r="665" spans="1:8" ht="15" customHeight="1" x14ac:dyDescent="0.15">
      <c r="A665" s="41" t="s">
        <v>2234</v>
      </c>
      <c r="B665" s="40" t="s">
        <v>2036</v>
      </c>
      <c r="H665" s="15"/>
    </row>
    <row r="666" spans="1:8" ht="15" customHeight="1" x14ac:dyDescent="0.15">
      <c r="A666" s="23"/>
      <c r="B666" s="67" t="s">
        <v>606</v>
      </c>
      <c r="C666" s="14" t="s">
        <v>2065</v>
      </c>
      <c r="D666" s="141"/>
      <c r="E666" s="14" t="s">
        <v>2066</v>
      </c>
      <c r="F666" s="141" t="str">
        <f>IF(wskakunin_kanri6__sikaku="", "", wskakunin_kanri6__sikaku)</f>
        <v/>
      </c>
      <c r="H666" s="15"/>
    </row>
    <row r="667" spans="1:8" ht="15" customHeight="1" x14ac:dyDescent="0.15">
      <c r="A667" s="23"/>
      <c r="B667" s="67" t="s">
        <v>607</v>
      </c>
      <c r="C667" s="14" t="s">
        <v>2067</v>
      </c>
      <c r="D667" s="141"/>
      <c r="E667" s="14" t="s">
        <v>2068</v>
      </c>
      <c r="F667" s="141" t="str">
        <f>IF(wskakunin_kanri6_SIKAKU__label="", "", wskakunin_kanri6_SIKAKU__label)</f>
        <v/>
      </c>
      <c r="H667" s="15"/>
    </row>
    <row r="668" spans="1:8" ht="15" customHeight="1" x14ac:dyDescent="0.15">
      <c r="A668" s="28"/>
      <c r="B668" s="73" t="s">
        <v>602</v>
      </c>
      <c r="C668" s="14" t="s">
        <v>2069</v>
      </c>
      <c r="D668" s="141"/>
      <c r="E668" s="14" t="s">
        <v>2070</v>
      </c>
      <c r="F668" s="141" t="str">
        <f>IF(wskakunin_kanri6_TOUROKU_KIKAN__label="","",wskakunin_kanri6_TOUROKU_KIKAN__label)</f>
        <v/>
      </c>
      <c r="H668" s="15"/>
    </row>
    <row r="669" spans="1:8" ht="15" customHeight="1" x14ac:dyDescent="0.15">
      <c r="A669" s="28"/>
      <c r="B669" s="73" t="s">
        <v>603</v>
      </c>
      <c r="C669" s="14" t="s">
        <v>2071</v>
      </c>
      <c r="D669" s="213"/>
      <c r="E669" s="14" t="s">
        <v>2072</v>
      </c>
      <c r="F669" s="141" t="str">
        <f>IF(wskakunin_kanri6_KENTIKUSI_NO="","",wskakunin_kanri6_KENTIKUSI_NO)</f>
        <v/>
      </c>
      <c r="H669" s="15"/>
    </row>
    <row r="670" spans="1:8" ht="15" customHeight="1" x14ac:dyDescent="0.15">
      <c r="A670" s="56"/>
      <c r="B670" s="67" t="s">
        <v>92</v>
      </c>
      <c r="C670" s="14" t="s">
        <v>2073</v>
      </c>
      <c r="D670" s="141"/>
      <c r="E670" s="14" t="s">
        <v>2074</v>
      </c>
      <c r="F670" s="141" t="str">
        <f>IF(wskakunin_kanri6_NAME="", "", wskakunin_kanri6_NAME)</f>
        <v/>
      </c>
      <c r="H670" s="15"/>
    </row>
    <row r="671" spans="1:8" ht="15" customHeight="1" x14ac:dyDescent="0.15">
      <c r="A671" s="56"/>
      <c r="B671" s="67" t="s">
        <v>608</v>
      </c>
      <c r="C671" s="14" t="s">
        <v>2075</v>
      </c>
      <c r="D671" s="141"/>
      <c r="E671" s="14" t="s">
        <v>2076</v>
      </c>
      <c r="F671" s="141" t="str">
        <f>IF(wskakunin_kanri6_JIMU__sikaku="", "", wskakunin_kanri6_JIMU__sikaku)</f>
        <v/>
      </c>
      <c r="H671" s="15"/>
    </row>
    <row r="672" spans="1:8" ht="15" customHeight="1" x14ac:dyDescent="0.15">
      <c r="A672" s="40"/>
      <c r="B672" s="73" t="s">
        <v>93</v>
      </c>
      <c r="C672" s="14" t="s">
        <v>2077</v>
      </c>
      <c r="D672" s="141"/>
      <c r="E672" s="14" t="s">
        <v>2078</v>
      </c>
      <c r="F672" s="141" t="str">
        <f>IF(wskakunin_kanri6_JIMU_SIKAKU__label="","",wskakunin_kanri6_JIMU_SIKAKU__label)</f>
        <v/>
      </c>
      <c r="H672" s="15"/>
    </row>
    <row r="673" spans="1:8" ht="15" customHeight="1" x14ac:dyDescent="0.15">
      <c r="A673" s="40"/>
      <c r="B673" s="73" t="s">
        <v>609</v>
      </c>
      <c r="C673" s="14" t="s">
        <v>2079</v>
      </c>
      <c r="D673" s="141"/>
      <c r="E673" s="14" t="s">
        <v>2080</v>
      </c>
      <c r="F673" s="141" t="str">
        <f>IF(wskakunin_kanri6_JIMU_TOUROKU_KIKAN__label="","",wskakunin_kanri6_JIMU_TOUROKU_KIKAN__label)</f>
        <v/>
      </c>
      <c r="H673" s="15"/>
    </row>
    <row r="674" spans="1:8" ht="15" customHeight="1" x14ac:dyDescent="0.15">
      <c r="A674" s="40"/>
      <c r="B674" s="73" t="s">
        <v>610</v>
      </c>
      <c r="C674" s="14" t="s">
        <v>2081</v>
      </c>
      <c r="D674" s="213"/>
      <c r="E674" s="14" t="s">
        <v>2082</v>
      </c>
      <c r="F674" s="141" t="str">
        <f>IF(wskakunin_kanri6_JIMU_NO="","",wskakunin_kanri6_JIMU_NO)</f>
        <v/>
      </c>
      <c r="H674" s="15"/>
    </row>
    <row r="675" spans="1:8" ht="15" customHeight="1" x14ac:dyDescent="0.15">
      <c r="A675" s="56"/>
      <c r="B675" s="67" t="s">
        <v>94</v>
      </c>
      <c r="C675" s="14" t="s">
        <v>2083</v>
      </c>
      <c r="D675" s="141"/>
      <c r="E675" s="14" t="s">
        <v>2084</v>
      </c>
      <c r="F675" s="141" t="str">
        <f>IF(wskakunin_kanri6_JIMU_NAME="", "", wskakunin_kanri6_JIMU_NAME)</f>
        <v/>
      </c>
      <c r="H675" s="15"/>
    </row>
    <row r="676" spans="1:8" ht="15" customHeight="1" x14ac:dyDescent="0.15">
      <c r="A676" s="56"/>
      <c r="B676" s="67" t="s">
        <v>5</v>
      </c>
      <c r="C676" s="14" t="s">
        <v>2085</v>
      </c>
      <c r="D676" s="213"/>
      <c r="E676" s="14" t="s">
        <v>2086</v>
      </c>
      <c r="F676" s="141" t="str">
        <f>IF(wskakunin_kanri6_ZIP="", "", wskakunin_kanri6_ZIP)</f>
        <v/>
      </c>
      <c r="H676" s="15"/>
    </row>
    <row r="677" spans="1:8" ht="15" customHeight="1" x14ac:dyDescent="0.15">
      <c r="A677" s="56"/>
      <c r="B677" s="67" t="s">
        <v>8</v>
      </c>
      <c r="C677" s="14" t="s">
        <v>2087</v>
      </c>
      <c r="D677" s="141"/>
      <c r="E677" s="14" t="s">
        <v>2088</v>
      </c>
      <c r="F677" s="141" t="str">
        <f>IF(wskakunin_kanri6__address="", "", wskakunin_kanri6__address)</f>
        <v/>
      </c>
      <c r="H677" s="15"/>
    </row>
    <row r="678" spans="1:8" ht="15" customHeight="1" x14ac:dyDescent="0.15">
      <c r="A678" s="56"/>
      <c r="B678" s="67" t="s">
        <v>7</v>
      </c>
      <c r="C678" s="14" t="s">
        <v>2089</v>
      </c>
      <c r="D678" s="213"/>
      <c r="E678" s="14" t="s">
        <v>2090</v>
      </c>
      <c r="F678" s="141" t="str">
        <f>IF(wskakunin_kanri6_TEL="", "", wskakunin_kanri6_TEL)</f>
        <v/>
      </c>
      <c r="H678" s="15"/>
    </row>
    <row r="679" spans="1:8" ht="15" customHeight="1" x14ac:dyDescent="0.15">
      <c r="A679" s="56"/>
      <c r="B679" s="67" t="s">
        <v>728</v>
      </c>
      <c r="C679" s="14" t="s">
        <v>2091</v>
      </c>
      <c r="D679" s="213"/>
      <c r="E679" s="14" t="s">
        <v>2092</v>
      </c>
      <c r="F679" s="141" t="str">
        <f>IF(wskakunin_kanri6_DOC="","",wskakunin_kanri6_DOC)</f>
        <v/>
      </c>
      <c r="H679" s="15"/>
    </row>
    <row r="680" spans="1:8" ht="15" customHeight="1" x14ac:dyDescent="0.15">
      <c r="A680" s="40"/>
      <c r="B680" s="70"/>
      <c r="H680" s="15"/>
    </row>
    <row r="681" spans="1:8" ht="15" customHeight="1" x14ac:dyDescent="0.15">
      <c r="A681" s="41" t="s">
        <v>2235</v>
      </c>
      <c r="B681" s="40" t="s">
        <v>2036</v>
      </c>
      <c r="H681" s="15"/>
    </row>
    <row r="682" spans="1:8" ht="15" customHeight="1" x14ac:dyDescent="0.15">
      <c r="A682" s="23"/>
      <c r="B682" s="67" t="s">
        <v>606</v>
      </c>
      <c r="C682" s="14" t="s">
        <v>2093</v>
      </c>
      <c r="D682" s="141"/>
      <c r="E682" s="14" t="s">
        <v>2094</v>
      </c>
      <c r="F682" s="141" t="str">
        <f>IF(wskakunin_kanri7__sikaku="", "", wskakunin_kanri7__sikaku)</f>
        <v/>
      </c>
      <c r="H682" s="15"/>
    </row>
    <row r="683" spans="1:8" ht="15" customHeight="1" x14ac:dyDescent="0.15">
      <c r="A683" s="23"/>
      <c r="B683" s="67" t="s">
        <v>607</v>
      </c>
      <c r="C683" s="14" t="s">
        <v>2095</v>
      </c>
      <c r="D683" s="141"/>
      <c r="E683" s="14" t="s">
        <v>2096</v>
      </c>
      <c r="F683" s="141" t="str">
        <f>IF(wskakunin_kanri7_SIKAKU__label="", "", wskakunin_kanri7_SIKAKU__label)</f>
        <v/>
      </c>
      <c r="H683" s="15"/>
    </row>
    <row r="684" spans="1:8" ht="15" customHeight="1" x14ac:dyDescent="0.15">
      <c r="A684" s="28"/>
      <c r="B684" s="73" t="s">
        <v>602</v>
      </c>
      <c r="C684" s="14" t="s">
        <v>2097</v>
      </c>
      <c r="D684" s="141"/>
      <c r="E684" s="14" t="s">
        <v>2098</v>
      </c>
      <c r="F684" s="141" t="str">
        <f>IF(wskakunin_kanri7_TOUROKU_KIKAN__label="","",wskakunin_kanri7_TOUROKU_KIKAN__label)</f>
        <v/>
      </c>
      <c r="H684" s="15"/>
    </row>
    <row r="685" spans="1:8" ht="15" customHeight="1" x14ac:dyDescent="0.15">
      <c r="A685" s="28"/>
      <c r="B685" s="73" t="s">
        <v>603</v>
      </c>
      <c r="C685" s="14" t="s">
        <v>2099</v>
      </c>
      <c r="D685" s="213"/>
      <c r="E685" s="14" t="s">
        <v>2100</v>
      </c>
      <c r="F685" s="141" t="str">
        <f>IF(wskakunin_kanri7_KENTIKUSI_NO="","",wskakunin_kanri7_KENTIKUSI_NO)</f>
        <v/>
      </c>
      <c r="H685" s="15"/>
    </row>
    <row r="686" spans="1:8" ht="15" customHeight="1" x14ac:dyDescent="0.15">
      <c r="A686" s="56"/>
      <c r="B686" s="67" t="s">
        <v>92</v>
      </c>
      <c r="C686" s="14" t="s">
        <v>2101</v>
      </c>
      <c r="D686" s="141"/>
      <c r="E686" s="14" t="s">
        <v>2102</v>
      </c>
      <c r="F686" s="141" t="str">
        <f>IF(wskakunin_kanri7_NAME="", "", wskakunin_kanri7_NAME)</f>
        <v/>
      </c>
      <c r="H686" s="15"/>
    </row>
    <row r="687" spans="1:8" ht="15" customHeight="1" x14ac:dyDescent="0.15">
      <c r="A687" s="56"/>
      <c r="B687" s="67" t="s">
        <v>608</v>
      </c>
      <c r="C687" s="14" t="s">
        <v>2103</v>
      </c>
      <c r="D687" s="141"/>
      <c r="E687" s="14" t="s">
        <v>2104</v>
      </c>
      <c r="F687" s="141" t="str">
        <f>IF(wskakunin_kanri7_JIMU__sikaku="", "", wskakunin_kanri7_JIMU__sikaku)</f>
        <v/>
      </c>
      <c r="H687" s="15"/>
    </row>
    <row r="688" spans="1:8" ht="15" customHeight="1" x14ac:dyDescent="0.15">
      <c r="A688" s="40"/>
      <c r="B688" s="73" t="s">
        <v>93</v>
      </c>
      <c r="C688" s="14" t="s">
        <v>2105</v>
      </c>
      <c r="D688" s="141"/>
      <c r="E688" s="14" t="s">
        <v>2106</v>
      </c>
      <c r="F688" s="141" t="str">
        <f>IF(wskakunin_kanri7_JIMU_SIKAKU__label="","",wskakunin_kanri7_JIMU_SIKAKU__label)</f>
        <v/>
      </c>
      <c r="H688" s="15"/>
    </row>
    <row r="689" spans="1:8" ht="15" customHeight="1" x14ac:dyDescent="0.15">
      <c r="A689" s="40"/>
      <c r="B689" s="73" t="s">
        <v>609</v>
      </c>
      <c r="C689" s="14" t="s">
        <v>2107</v>
      </c>
      <c r="D689" s="141"/>
      <c r="E689" s="14" t="s">
        <v>2108</v>
      </c>
      <c r="F689" s="141" t="str">
        <f>IF(wskakunin_kanri7_JIMU_TOUROKU_KIKAN__label="","",wskakunin_kanri7_JIMU_TOUROKU_KIKAN__label)</f>
        <v/>
      </c>
      <c r="H689" s="15"/>
    </row>
    <row r="690" spans="1:8" ht="15" customHeight="1" x14ac:dyDescent="0.15">
      <c r="A690" s="40"/>
      <c r="B690" s="73" t="s">
        <v>610</v>
      </c>
      <c r="C690" s="14" t="s">
        <v>2109</v>
      </c>
      <c r="D690" s="213"/>
      <c r="E690" s="14" t="s">
        <v>2110</v>
      </c>
      <c r="F690" s="141" t="str">
        <f>IF(wskakunin_kanri7_JIMU_NO="","",wskakunin_kanri7_JIMU_NO)</f>
        <v/>
      </c>
      <c r="H690" s="15"/>
    </row>
    <row r="691" spans="1:8" ht="15" customHeight="1" x14ac:dyDescent="0.15">
      <c r="A691" s="56"/>
      <c r="B691" s="67" t="s">
        <v>94</v>
      </c>
      <c r="C691" s="14" t="s">
        <v>2111</v>
      </c>
      <c r="D691" s="141"/>
      <c r="E691" s="14" t="s">
        <v>2112</v>
      </c>
      <c r="F691" s="141" t="str">
        <f>IF(wskakunin_kanri7_JIMU_NAME="", "", wskakunin_kanri7_JIMU_NAME)</f>
        <v/>
      </c>
      <c r="H691" s="15"/>
    </row>
    <row r="692" spans="1:8" ht="15" customHeight="1" x14ac:dyDescent="0.15">
      <c r="A692" s="56"/>
      <c r="B692" s="67" t="s">
        <v>5</v>
      </c>
      <c r="C692" s="14" t="s">
        <v>2113</v>
      </c>
      <c r="D692" s="213"/>
      <c r="E692" s="14" t="s">
        <v>2114</v>
      </c>
      <c r="F692" s="141" t="str">
        <f>IF(wskakunin_kanri7_ZIP="", "", wskakunin_kanri7_ZIP)</f>
        <v/>
      </c>
      <c r="H692" s="15"/>
    </row>
    <row r="693" spans="1:8" ht="15" customHeight="1" x14ac:dyDescent="0.15">
      <c r="A693" s="56"/>
      <c r="B693" s="67" t="s">
        <v>8</v>
      </c>
      <c r="C693" s="14" t="s">
        <v>2115</v>
      </c>
      <c r="D693" s="141"/>
      <c r="E693" s="14" t="s">
        <v>2116</v>
      </c>
      <c r="F693" s="141" t="str">
        <f>IF(wskakunin_kanri7__address="", "", wskakunin_kanri7__address)</f>
        <v/>
      </c>
      <c r="H693" s="15"/>
    </row>
    <row r="694" spans="1:8" ht="15" customHeight="1" x14ac:dyDescent="0.15">
      <c r="A694" s="56"/>
      <c r="B694" s="67" t="s">
        <v>7</v>
      </c>
      <c r="C694" s="14" t="s">
        <v>2117</v>
      </c>
      <c r="D694" s="213"/>
      <c r="E694" s="14" t="s">
        <v>2118</v>
      </c>
      <c r="F694" s="141" t="str">
        <f>IF(wskakunin_kanri7_TEL="", "", wskakunin_kanri7_TEL)</f>
        <v/>
      </c>
      <c r="H694" s="15"/>
    </row>
    <row r="695" spans="1:8" ht="15" customHeight="1" x14ac:dyDescent="0.15">
      <c r="A695" s="56"/>
      <c r="B695" s="67" t="s">
        <v>728</v>
      </c>
      <c r="C695" s="14" t="s">
        <v>2119</v>
      </c>
      <c r="D695" s="213"/>
      <c r="E695" s="14" t="s">
        <v>2120</v>
      </c>
      <c r="F695" s="141" t="str">
        <f>IF(wskakunin_kanri7_DOC="","",wskakunin_kanri7_DOC)</f>
        <v/>
      </c>
      <c r="H695" s="15"/>
    </row>
    <row r="696" spans="1:8" ht="15" customHeight="1" x14ac:dyDescent="0.15">
      <c r="A696" s="40"/>
      <c r="B696" s="70"/>
      <c r="H696" s="15"/>
    </row>
    <row r="697" spans="1:8" ht="15" customHeight="1" x14ac:dyDescent="0.15">
      <c r="A697" s="41" t="s">
        <v>2236</v>
      </c>
      <c r="B697" s="40" t="s">
        <v>2036</v>
      </c>
      <c r="H697" s="15"/>
    </row>
    <row r="698" spans="1:8" ht="15" customHeight="1" x14ac:dyDescent="0.15">
      <c r="A698" s="23"/>
      <c r="B698" s="67" t="s">
        <v>606</v>
      </c>
      <c r="C698" s="14" t="s">
        <v>2121</v>
      </c>
      <c r="D698" s="141"/>
      <c r="E698" s="14" t="s">
        <v>2122</v>
      </c>
      <c r="F698" s="141" t="str">
        <f>IF(wskakunin_kanri8__sikaku="", "", wskakunin_kanri8__sikaku)</f>
        <v/>
      </c>
      <c r="H698" s="15"/>
    </row>
    <row r="699" spans="1:8" ht="15" customHeight="1" x14ac:dyDescent="0.15">
      <c r="A699" s="23"/>
      <c r="B699" s="67" t="s">
        <v>607</v>
      </c>
      <c r="C699" s="14" t="s">
        <v>2123</v>
      </c>
      <c r="D699" s="141"/>
      <c r="E699" s="14" t="s">
        <v>2124</v>
      </c>
      <c r="F699" s="141" t="str">
        <f>IF(wskakunin_kanri8_SIKAKU__label="", "", wskakunin_kanri8_SIKAKU__label)</f>
        <v/>
      </c>
      <c r="H699" s="15"/>
    </row>
    <row r="700" spans="1:8" ht="15" customHeight="1" x14ac:dyDescent="0.15">
      <c r="A700" s="28"/>
      <c r="B700" s="73" t="s">
        <v>602</v>
      </c>
      <c r="C700" s="14" t="s">
        <v>2125</v>
      </c>
      <c r="D700" s="141"/>
      <c r="E700" s="14" t="s">
        <v>2126</v>
      </c>
      <c r="F700" s="141" t="str">
        <f>IF(wskakunin_kanri8_TOUROKU_KIKAN__label="","",wskakunin_kanri8_TOUROKU_KIKAN__label)</f>
        <v/>
      </c>
      <c r="H700" s="15"/>
    </row>
    <row r="701" spans="1:8" ht="15" customHeight="1" x14ac:dyDescent="0.15">
      <c r="A701" s="28"/>
      <c r="B701" s="73" t="s">
        <v>603</v>
      </c>
      <c r="C701" s="14" t="s">
        <v>2127</v>
      </c>
      <c r="D701" s="213"/>
      <c r="E701" s="14" t="s">
        <v>2128</v>
      </c>
      <c r="F701" s="141" t="str">
        <f>IF(wskakunin_kanri8_KENTIKUSI_NO="","",wskakunin_kanri8_KENTIKUSI_NO)</f>
        <v/>
      </c>
      <c r="H701" s="15"/>
    </row>
    <row r="702" spans="1:8" ht="15" customHeight="1" x14ac:dyDescent="0.15">
      <c r="A702" s="56"/>
      <c r="B702" s="67" t="s">
        <v>92</v>
      </c>
      <c r="C702" s="14" t="s">
        <v>2129</v>
      </c>
      <c r="D702" s="141"/>
      <c r="E702" s="14" t="s">
        <v>2130</v>
      </c>
      <c r="F702" s="141" t="str">
        <f>IF(wskakunin_kanri8_NAME="", "", wskakunin_kanri8_NAME)</f>
        <v/>
      </c>
      <c r="H702" s="15"/>
    </row>
    <row r="703" spans="1:8" ht="15" customHeight="1" x14ac:dyDescent="0.15">
      <c r="A703" s="56"/>
      <c r="B703" s="67" t="s">
        <v>608</v>
      </c>
      <c r="C703" s="14" t="s">
        <v>2131</v>
      </c>
      <c r="D703" s="141"/>
      <c r="E703" s="14" t="s">
        <v>2132</v>
      </c>
      <c r="F703" s="141" t="str">
        <f>IF(wskakunin_kanri8_JIMU__sikaku="", "", wskakunin_kanri8_JIMU__sikaku)</f>
        <v/>
      </c>
      <c r="H703" s="15"/>
    </row>
    <row r="704" spans="1:8" ht="15" customHeight="1" x14ac:dyDescent="0.15">
      <c r="A704" s="40"/>
      <c r="B704" s="73" t="s">
        <v>93</v>
      </c>
      <c r="C704" s="14" t="s">
        <v>2133</v>
      </c>
      <c r="D704" s="141"/>
      <c r="E704" s="14" t="s">
        <v>2134</v>
      </c>
      <c r="F704" s="141" t="str">
        <f>IF(wskakunin_kanri8_JIMU_SIKAKU__label="","",wskakunin_kanri8_JIMU_SIKAKU__label)</f>
        <v/>
      </c>
      <c r="H704" s="15"/>
    </row>
    <row r="705" spans="1:8" ht="15" customHeight="1" x14ac:dyDescent="0.15">
      <c r="A705" s="40"/>
      <c r="B705" s="73" t="s">
        <v>609</v>
      </c>
      <c r="C705" s="14" t="s">
        <v>2135</v>
      </c>
      <c r="D705" s="141"/>
      <c r="E705" s="14" t="s">
        <v>2136</v>
      </c>
      <c r="F705" s="141" t="str">
        <f>IF(wskakunin_kanri8_JIMU_TOUROKU_KIKAN__label="","",wskakunin_kanri8_JIMU_TOUROKU_KIKAN__label)</f>
        <v/>
      </c>
      <c r="H705" s="15"/>
    </row>
    <row r="706" spans="1:8" ht="15" customHeight="1" x14ac:dyDescent="0.15">
      <c r="A706" s="40"/>
      <c r="B706" s="73" t="s">
        <v>610</v>
      </c>
      <c r="C706" s="14" t="s">
        <v>2137</v>
      </c>
      <c r="D706" s="213"/>
      <c r="E706" s="14" t="s">
        <v>2138</v>
      </c>
      <c r="F706" s="141" t="str">
        <f>IF(wskakunin_kanri8_JIMU_NO="","",wskakunin_kanri8_JIMU_NO)</f>
        <v/>
      </c>
      <c r="H706" s="15"/>
    </row>
    <row r="707" spans="1:8" ht="15" customHeight="1" x14ac:dyDescent="0.15">
      <c r="A707" s="56"/>
      <c r="B707" s="67" t="s">
        <v>94</v>
      </c>
      <c r="C707" s="14" t="s">
        <v>2139</v>
      </c>
      <c r="D707" s="141"/>
      <c r="E707" s="14" t="s">
        <v>2140</v>
      </c>
      <c r="F707" s="141" t="str">
        <f>IF(wskakunin_kanri8_JIMU_NAME="", "", wskakunin_kanri8_JIMU_NAME)</f>
        <v/>
      </c>
      <c r="H707" s="15"/>
    </row>
    <row r="708" spans="1:8" ht="15" customHeight="1" x14ac:dyDescent="0.15">
      <c r="A708" s="56"/>
      <c r="B708" s="67" t="s">
        <v>5</v>
      </c>
      <c r="C708" s="14" t="s">
        <v>2141</v>
      </c>
      <c r="D708" s="213"/>
      <c r="E708" s="14" t="s">
        <v>2142</v>
      </c>
      <c r="F708" s="141" t="str">
        <f>IF(wskakunin_kanri8_ZIP="", "", wskakunin_kanri8_ZIP)</f>
        <v/>
      </c>
      <c r="H708" s="15"/>
    </row>
    <row r="709" spans="1:8" ht="15" customHeight="1" x14ac:dyDescent="0.15">
      <c r="A709" s="56"/>
      <c r="B709" s="67" t="s">
        <v>8</v>
      </c>
      <c r="C709" s="14" t="s">
        <v>2143</v>
      </c>
      <c r="D709" s="141"/>
      <c r="E709" s="14" t="s">
        <v>2144</v>
      </c>
      <c r="F709" s="141" t="str">
        <f>IF(wskakunin_kanri8__address="", "", wskakunin_kanri8__address)</f>
        <v/>
      </c>
      <c r="H709" s="15"/>
    </row>
    <row r="710" spans="1:8" ht="15" customHeight="1" x14ac:dyDescent="0.15">
      <c r="A710" s="56"/>
      <c r="B710" s="67" t="s">
        <v>7</v>
      </c>
      <c r="C710" s="14" t="s">
        <v>2145</v>
      </c>
      <c r="D710" s="213"/>
      <c r="E710" s="14" t="s">
        <v>2146</v>
      </c>
      <c r="F710" s="141" t="str">
        <f>IF(wskakunin_kanri8_TEL="", "", wskakunin_kanri8_TEL)</f>
        <v/>
      </c>
      <c r="H710" s="15"/>
    </row>
    <row r="711" spans="1:8" ht="15" customHeight="1" x14ac:dyDescent="0.15">
      <c r="A711" s="56"/>
      <c r="B711" s="67" t="s">
        <v>728</v>
      </c>
      <c r="C711" s="14" t="s">
        <v>2147</v>
      </c>
      <c r="D711" s="213"/>
      <c r="E711" s="14" t="s">
        <v>2148</v>
      </c>
      <c r="F711" s="141" t="str">
        <f>IF(wskakunin_kanri8_DOC="","",wskakunin_kanri8_DOC)</f>
        <v/>
      </c>
      <c r="H711" s="15"/>
    </row>
    <row r="712" spans="1:8" ht="15" customHeight="1" x14ac:dyDescent="0.15">
      <c r="A712" s="40"/>
      <c r="B712" s="70"/>
      <c r="H712" s="15"/>
    </row>
    <row r="713" spans="1:8" ht="15" customHeight="1" x14ac:dyDescent="0.15">
      <c r="A713" s="41" t="s">
        <v>2237</v>
      </c>
      <c r="B713" s="40" t="s">
        <v>2036</v>
      </c>
      <c r="H713" s="15"/>
    </row>
    <row r="714" spans="1:8" ht="15" customHeight="1" x14ac:dyDescent="0.15">
      <c r="A714" s="23"/>
      <c r="B714" s="67" t="s">
        <v>606</v>
      </c>
      <c r="C714" s="14" t="s">
        <v>2149</v>
      </c>
      <c r="D714" s="141"/>
      <c r="E714" s="14" t="s">
        <v>2150</v>
      </c>
      <c r="F714" s="141" t="str">
        <f>IF(wskakunin_kanri9__sikaku="", "", wskakunin_kanri9__sikaku)</f>
        <v/>
      </c>
      <c r="H714" s="15"/>
    </row>
    <row r="715" spans="1:8" ht="15" customHeight="1" x14ac:dyDescent="0.15">
      <c r="A715" s="23"/>
      <c r="B715" s="67" t="s">
        <v>607</v>
      </c>
      <c r="C715" s="14" t="s">
        <v>2151</v>
      </c>
      <c r="D715" s="141"/>
      <c r="E715" s="14" t="s">
        <v>2152</v>
      </c>
      <c r="F715" s="141" t="str">
        <f>IF(wskakunin_kanri9_SIKAKU__label="", "", wskakunin_kanri9_SIKAKU__label)</f>
        <v/>
      </c>
      <c r="H715" s="15"/>
    </row>
    <row r="716" spans="1:8" ht="15" customHeight="1" x14ac:dyDescent="0.15">
      <c r="A716" s="28"/>
      <c r="B716" s="73" t="s">
        <v>602</v>
      </c>
      <c r="C716" s="14" t="s">
        <v>2153</v>
      </c>
      <c r="D716" s="141"/>
      <c r="E716" s="14" t="s">
        <v>2154</v>
      </c>
      <c r="F716" s="141" t="str">
        <f>IF(wskakunin_kanri9_TOUROKU_KIKAN__label="","",wskakunin_kanri9_TOUROKU_KIKAN__label)</f>
        <v/>
      </c>
      <c r="H716" s="15"/>
    </row>
    <row r="717" spans="1:8" ht="15" customHeight="1" x14ac:dyDescent="0.15">
      <c r="A717" s="28"/>
      <c r="B717" s="73" t="s">
        <v>603</v>
      </c>
      <c r="C717" s="14" t="s">
        <v>2155</v>
      </c>
      <c r="D717" s="213"/>
      <c r="E717" s="14" t="s">
        <v>2156</v>
      </c>
      <c r="F717" s="141" t="str">
        <f>IF(wskakunin_kanri9_KENTIKUSI_NO="","",wskakunin_kanri9_KENTIKUSI_NO)</f>
        <v/>
      </c>
      <c r="H717" s="15"/>
    </row>
    <row r="718" spans="1:8" ht="15" customHeight="1" x14ac:dyDescent="0.15">
      <c r="A718" s="56"/>
      <c r="B718" s="67" t="s">
        <v>92</v>
      </c>
      <c r="C718" s="14" t="s">
        <v>2157</v>
      </c>
      <c r="D718" s="141"/>
      <c r="E718" s="14" t="s">
        <v>2158</v>
      </c>
      <c r="F718" s="141" t="str">
        <f>IF(wskakunin_kanri9_NAME="", "", wskakunin_kanri9_NAME)</f>
        <v/>
      </c>
      <c r="H718" s="15"/>
    </row>
    <row r="719" spans="1:8" ht="15" customHeight="1" x14ac:dyDescent="0.15">
      <c r="A719" s="56"/>
      <c r="B719" s="67" t="s">
        <v>608</v>
      </c>
      <c r="C719" s="14" t="s">
        <v>2159</v>
      </c>
      <c r="D719" s="141"/>
      <c r="E719" s="14" t="s">
        <v>2160</v>
      </c>
      <c r="F719" s="141" t="str">
        <f>IF(wskakunin_kanri9_JIMU__sikaku="", "", wskakunin_kanri9_JIMU__sikaku)</f>
        <v/>
      </c>
      <c r="H719" s="15"/>
    </row>
    <row r="720" spans="1:8" ht="15" customHeight="1" x14ac:dyDescent="0.15">
      <c r="A720" s="40"/>
      <c r="B720" s="73" t="s">
        <v>93</v>
      </c>
      <c r="C720" s="14" t="s">
        <v>2161</v>
      </c>
      <c r="D720" s="141"/>
      <c r="E720" s="14" t="s">
        <v>2162</v>
      </c>
      <c r="F720" s="141" t="str">
        <f>IF(wskakunin_kanri9_JIMU_SIKAKU__label="","",wskakunin_kanri9_JIMU_SIKAKU__label)</f>
        <v/>
      </c>
      <c r="H720" s="15"/>
    </row>
    <row r="721" spans="1:8" ht="15" customHeight="1" x14ac:dyDescent="0.15">
      <c r="A721" s="40"/>
      <c r="B721" s="73" t="s">
        <v>609</v>
      </c>
      <c r="C721" s="14" t="s">
        <v>2163</v>
      </c>
      <c r="D721" s="141"/>
      <c r="E721" s="14" t="s">
        <v>2164</v>
      </c>
      <c r="F721" s="141" t="str">
        <f>IF(wskakunin_kanri9_JIMU_TOUROKU_KIKAN__label="","",wskakunin_kanri9_JIMU_TOUROKU_KIKAN__label)</f>
        <v/>
      </c>
      <c r="H721" s="15"/>
    </row>
    <row r="722" spans="1:8" ht="15" customHeight="1" x14ac:dyDescent="0.15">
      <c r="A722" s="40"/>
      <c r="B722" s="73" t="s">
        <v>610</v>
      </c>
      <c r="C722" s="14" t="s">
        <v>2165</v>
      </c>
      <c r="D722" s="213"/>
      <c r="E722" s="14" t="s">
        <v>2166</v>
      </c>
      <c r="F722" s="141" t="str">
        <f>IF(wskakunin_kanri9_JIMU_NO="","",wskakunin_kanri9_JIMU_NO)</f>
        <v/>
      </c>
      <c r="H722" s="15"/>
    </row>
    <row r="723" spans="1:8" ht="15" customHeight="1" x14ac:dyDescent="0.15">
      <c r="A723" s="56"/>
      <c r="B723" s="67" t="s">
        <v>94</v>
      </c>
      <c r="C723" s="14" t="s">
        <v>2167</v>
      </c>
      <c r="D723" s="141"/>
      <c r="E723" s="14" t="s">
        <v>2168</v>
      </c>
      <c r="F723" s="141" t="str">
        <f>IF(wskakunin_kanri9_JIMU_NAME="", "", wskakunin_kanri9_JIMU_NAME)</f>
        <v/>
      </c>
      <c r="H723" s="15"/>
    </row>
    <row r="724" spans="1:8" ht="15" customHeight="1" x14ac:dyDescent="0.15">
      <c r="A724" s="56"/>
      <c r="B724" s="67" t="s">
        <v>5</v>
      </c>
      <c r="C724" s="14" t="s">
        <v>2169</v>
      </c>
      <c r="D724" s="213"/>
      <c r="E724" s="14" t="s">
        <v>2170</v>
      </c>
      <c r="F724" s="141" t="str">
        <f>IF(wskakunin_kanri9_ZIP="", "", wskakunin_kanri9_ZIP)</f>
        <v/>
      </c>
      <c r="H724" s="15"/>
    </row>
    <row r="725" spans="1:8" ht="15" customHeight="1" x14ac:dyDescent="0.15">
      <c r="A725" s="56"/>
      <c r="B725" s="67" t="s">
        <v>8</v>
      </c>
      <c r="C725" s="14" t="s">
        <v>2171</v>
      </c>
      <c r="D725" s="141"/>
      <c r="E725" s="14" t="s">
        <v>2172</v>
      </c>
      <c r="F725" s="141" t="str">
        <f>IF(wskakunin_kanri9__address="", "", wskakunin_kanri9__address)</f>
        <v/>
      </c>
      <c r="H725" s="15"/>
    </row>
    <row r="726" spans="1:8" ht="15" customHeight="1" x14ac:dyDescent="0.15">
      <c r="A726" s="56"/>
      <c r="B726" s="67" t="s">
        <v>7</v>
      </c>
      <c r="C726" s="14" t="s">
        <v>2173</v>
      </c>
      <c r="D726" s="213"/>
      <c r="E726" s="14" t="s">
        <v>2174</v>
      </c>
      <c r="F726" s="141" t="str">
        <f>IF(wskakunin_kanri9_TEL="", "", wskakunin_kanri9_TEL)</f>
        <v/>
      </c>
      <c r="H726" s="15"/>
    </row>
    <row r="727" spans="1:8" ht="15" customHeight="1" x14ac:dyDescent="0.15">
      <c r="A727" s="56"/>
      <c r="B727" s="67" t="s">
        <v>728</v>
      </c>
      <c r="C727" s="14" t="s">
        <v>2175</v>
      </c>
      <c r="D727" s="213"/>
      <c r="E727" s="14" t="s">
        <v>2176</v>
      </c>
      <c r="F727" s="141" t="str">
        <f>IF(wskakunin_kanri9_DOC="","",wskakunin_kanri9_DOC)</f>
        <v/>
      </c>
      <c r="H727" s="15"/>
    </row>
    <row r="728" spans="1:8" ht="15" customHeight="1" x14ac:dyDescent="0.15">
      <c r="A728" s="40"/>
      <c r="B728" s="70"/>
      <c r="H728" s="15"/>
    </row>
    <row r="729" spans="1:8" ht="15" customHeight="1" x14ac:dyDescent="0.15">
      <c r="A729" s="41" t="s">
        <v>2238</v>
      </c>
      <c r="B729" s="40" t="s">
        <v>2036</v>
      </c>
      <c r="H729" s="15"/>
    </row>
    <row r="730" spans="1:8" ht="15" customHeight="1" x14ac:dyDescent="0.15">
      <c r="A730" s="23"/>
      <c r="B730" s="67" t="s">
        <v>606</v>
      </c>
      <c r="C730" s="14" t="s">
        <v>2177</v>
      </c>
      <c r="D730" s="141"/>
      <c r="E730" s="14" t="s">
        <v>2178</v>
      </c>
      <c r="F730" s="141" t="str">
        <f>IF(wskakunin_kanri10__sikaku="", "", wskakunin_kanri10__sikaku)</f>
        <v/>
      </c>
      <c r="H730" s="15"/>
    </row>
    <row r="731" spans="1:8" ht="15" customHeight="1" x14ac:dyDescent="0.15">
      <c r="A731" s="23"/>
      <c r="B731" s="67" t="s">
        <v>607</v>
      </c>
      <c r="C731" s="14" t="s">
        <v>2179</v>
      </c>
      <c r="D731" s="141"/>
      <c r="E731" s="14" t="s">
        <v>2180</v>
      </c>
      <c r="F731" s="141" t="str">
        <f>IF(wskakunin_kanri10_SIKAKU__label="", "", wskakunin_kanri10_SIKAKU__label)</f>
        <v/>
      </c>
      <c r="H731" s="15"/>
    </row>
    <row r="732" spans="1:8" ht="15" customHeight="1" x14ac:dyDescent="0.15">
      <c r="A732" s="28"/>
      <c r="B732" s="73" t="s">
        <v>602</v>
      </c>
      <c r="C732" s="14" t="s">
        <v>2181</v>
      </c>
      <c r="D732" s="141"/>
      <c r="E732" s="14" t="s">
        <v>2182</v>
      </c>
      <c r="F732" s="141" t="str">
        <f>IF(wskakunin_kanri10_TOUROKU_KIKAN__label="","",wskakunin_kanri10_TOUROKU_KIKAN__label)</f>
        <v/>
      </c>
      <c r="H732" s="15"/>
    </row>
    <row r="733" spans="1:8" ht="15" customHeight="1" x14ac:dyDescent="0.15">
      <c r="A733" s="28"/>
      <c r="B733" s="73" t="s">
        <v>603</v>
      </c>
      <c r="C733" s="14" t="s">
        <v>2183</v>
      </c>
      <c r="D733" s="213"/>
      <c r="E733" s="14" t="s">
        <v>2184</v>
      </c>
      <c r="F733" s="141" t="str">
        <f>IF(wskakunin_kanri10_KENTIKUSI_NO="","",wskakunin_kanri10_KENTIKUSI_NO)</f>
        <v/>
      </c>
      <c r="H733" s="15"/>
    </row>
    <row r="734" spans="1:8" ht="15" customHeight="1" x14ac:dyDescent="0.15">
      <c r="A734" s="56"/>
      <c r="B734" s="67" t="s">
        <v>92</v>
      </c>
      <c r="C734" s="14" t="s">
        <v>2185</v>
      </c>
      <c r="D734" s="141"/>
      <c r="E734" s="14" t="s">
        <v>2186</v>
      </c>
      <c r="F734" s="141" t="str">
        <f>IF(wskakunin_kanri10_NAME="", "", wskakunin_kanri10_NAME)</f>
        <v/>
      </c>
      <c r="H734" s="15"/>
    </row>
    <row r="735" spans="1:8" ht="15" customHeight="1" x14ac:dyDescent="0.15">
      <c r="A735" s="56"/>
      <c r="B735" s="67" t="s">
        <v>608</v>
      </c>
      <c r="C735" s="14" t="s">
        <v>2187</v>
      </c>
      <c r="D735" s="141"/>
      <c r="E735" s="14" t="s">
        <v>2188</v>
      </c>
      <c r="F735" s="141" t="str">
        <f>IF(wskakunin_kanri10_JIMU__sikaku="", "", wskakunin_kanri10_JIMU__sikaku)</f>
        <v/>
      </c>
      <c r="H735" s="15"/>
    </row>
    <row r="736" spans="1:8" ht="15" customHeight="1" x14ac:dyDescent="0.15">
      <c r="A736" s="40"/>
      <c r="B736" s="73" t="s">
        <v>93</v>
      </c>
      <c r="C736" s="14" t="s">
        <v>2189</v>
      </c>
      <c r="D736" s="141"/>
      <c r="E736" s="14" t="s">
        <v>2190</v>
      </c>
      <c r="F736" s="141" t="str">
        <f>IF(wskakunin_kanri10_JIMU_SIKAKU__label="","",wskakunin_kanri10_JIMU_SIKAKU__label)</f>
        <v/>
      </c>
      <c r="H736" s="15"/>
    </row>
    <row r="737" spans="1:8" ht="15" customHeight="1" x14ac:dyDescent="0.15">
      <c r="A737" s="40"/>
      <c r="B737" s="73" t="s">
        <v>609</v>
      </c>
      <c r="C737" s="14" t="s">
        <v>2191</v>
      </c>
      <c r="D737" s="141"/>
      <c r="E737" s="14" t="s">
        <v>2192</v>
      </c>
      <c r="F737" s="141" t="str">
        <f>IF(wskakunin_kanri10_JIMU_TOUROKU_KIKAN__label="","",wskakunin_kanri10_JIMU_TOUROKU_KIKAN__label)</f>
        <v/>
      </c>
      <c r="H737" s="15"/>
    </row>
    <row r="738" spans="1:8" ht="15" customHeight="1" x14ac:dyDescent="0.15">
      <c r="A738" s="40"/>
      <c r="B738" s="73" t="s">
        <v>610</v>
      </c>
      <c r="C738" s="14" t="s">
        <v>2193</v>
      </c>
      <c r="D738" s="213"/>
      <c r="E738" s="14" t="s">
        <v>2194</v>
      </c>
      <c r="F738" s="141" t="str">
        <f>IF(wskakunin_kanri10_JIMU_NO="","",wskakunin_kanri10_JIMU_NO)</f>
        <v/>
      </c>
      <c r="H738" s="15"/>
    </row>
    <row r="739" spans="1:8" ht="15" customHeight="1" x14ac:dyDescent="0.15">
      <c r="A739" s="56"/>
      <c r="B739" s="67" t="s">
        <v>94</v>
      </c>
      <c r="C739" s="14" t="s">
        <v>2195</v>
      </c>
      <c r="D739" s="141"/>
      <c r="E739" s="14" t="s">
        <v>2196</v>
      </c>
      <c r="F739" s="141" t="str">
        <f>IF(wskakunin_kanri10_JIMU_NAME="", "", wskakunin_kanri10_JIMU_NAME)</f>
        <v/>
      </c>
      <c r="H739" s="15"/>
    </row>
    <row r="740" spans="1:8" ht="15" customHeight="1" x14ac:dyDescent="0.15">
      <c r="A740" s="56"/>
      <c r="B740" s="67" t="s">
        <v>5</v>
      </c>
      <c r="C740" s="14" t="s">
        <v>2197</v>
      </c>
      <c r="D740" s="213"/>
      <c r="E740" s="14" t="s">
        <v>2198</v>
      </c>
      <c r="F740" s="141" t="str">
        <f>IF(wskakunin_kanri10_ZIP="", "", wskakunin_kanri10_ZIP)</f>
        <v/>
      </c>
      <c r="H740" s="15"/>
    </row>
    <row r="741" spans="1:8" ht="15" customHeight="1" x14ac:dyDescent="0.15">
      <c r="A741" s="56"/>
      <c r="B741" s="67" t="s">
        <v>8</v>
      </c>
      <c r="C741" s="14" t="s">
        <v>2199</v>
      </c>
      <c r="D741" s="141"/>
      <c r="E741" s="14" t="s">
        <v>2200</v>
      </c>
      <c r="F741" s="141" t="str">
        <f>IF(wskakunin_kanri10__address="", "", wskakunin_kanri10__address)</f>
        <v/>
      </c>
      <c r="H741" s="15"/>
    </row>
    <row r="742" spans="1:8" ht="15" customHeight="1" x14ac:dyDescent="0.15">
      <c r="A742" s="56"/>
      <c r="B742" s="67" t="s">
        <v>7</v>
      </c>
      <c r="C742" s="14" t="s">
        <v>2201</v>
      </c>
      <c r="D742" s="213"/>
      <c r="E742" s="14" t="s">
        <v>2202</v>
      </c>
      <c r="F742" s="141" t="str">
        <f>IF(wskakunin_kanri10_TEL="", "", wskakunin_kanri10_TEL)</f>
        <v/>
      </c>
      <c r="H742" s="15"/>
    </row>
    <row r="743" spans="1:8" ht="15" customHeight="1" x14ac:dyDescent="0.15">
      <c r="A743" s="56"/>
      <c r="B743" s="67" t="s">
        <v>728</v>
      </c>
      <c r="C743" s="14" t="s">
        <v>2203</v>
      </c>
      <c r="D743" s="213"/>
      <c r="E743" s="14" t="s">
        <v>2204</v>
      </c>
      <c r="F743" s="141" t="str">
        <f>IF(wskakunin_kanri10_DOC="","",wskakunin_kanri10_DOC)</f>
        <v/>
      </c>
      <c r="H743" s="15"/>
    </row>
    <row r="744" spans="1:8" ht="15" customHeight="1" x14ac:dyDescent="0.15">
      <c r="A744" s="40"/>
      <c r="B744" s="70"/>
      <c r="H744" s="15"/>
    </row>
    <row r="745" spans="1:8" ht="15" customHeight="1" x14ac:dyDescent="0.15">
      <c r="A745" s="41" t="s">
        <v>2239</v>
      </c>
      <c r="B745" s="40" t="s">
        <v>2036</v>
      </c>
      <c r="H745" s="15"/>
    </row>
    <row r="746" spans="1:8" ht="15" customHeight="1" x14ac:dyDescent="0.15">
      <c r="A746" s="23"/>
      <c r="B746" s="67" t="s">
        <v>606</v>
      </c>
      <c r="C746" s="14" t="s">
        <v>2205</v>
      </c>
      <c r="D746" s="141"/>
      <c r="E746" s="14" t="s">
        <v>2206</v>
      </c>
      <c r="F746" s="141" t="str">
        <f>IF(wskakunin_kanri11__sikaku="", "", wskakunin_kanri11__sikaku)</f>
        <v/>
      </c>
      <c r="H746" s="15"/>
    </row>
    <row r="747" spans="1:8" ht="15" customHeight="1" x14ac:dyDescent="0.15">
      <c r="A747" s="23"/>
      <c r="B747" s="67" t="s">
        <v>607</v>
      </c>
      <c r="C747" s="14" t="s">
        <v>2207</v>
      </c>
      <c r="D747" s="141"/>
      <c r="E747" s="14" t="s">
        <v>2208</v>
      </c>
      <c r="F747" s="141" t="str">
        <f>IF(wskakunin_kanri11_SIKAKU__label="", "", wskakunin_kanri11_SIKAKU__label)</f>
        <v/>
      </c>
      <c r="H747" s="15"/>
    </row>
    <row r="748" spans="1:8" ht="15" customHeight="1" x14ac:dyDescent="0.15">
      <c r="A748" s="28"/>
      <c r="B748" s="73" t="s">
        <v>602</v>
      </c>
      <c r="C748" s="14" t="s">
        <v>2209</v>
      </c>
      <c r="D748" s="141"/>
      <c r="E748" s="14" t="s">
        <v>2210</v>
      </c>
      <c r="F748" s="141" t="str">
        <f>IF(wskakunin_kanri11_TOUROKU_KIKAN__label="","",wskakunin_kanri11_TOUROKU_KIKAN__label)</f>
        <v/>
      </c>
      <c r="H748" s="15"/>
    </row>
    <row r="749" spans="1:8" ht="15" customHeight="1" x14ac:dyDescent="0.15">
      <c r="A749" s="28"/>
      <c r="B749" s="73" t="s">
        <v>603</v>
      </c>
      <c r="C749" s="14" t="s">
        <v>2211</v>
      </c>
      <c r="D749" s="213"/>
      <c r="E749" s="14" t="s">
        <v>2212</v>
      </c>
      <c r="F749" s="141" t="str">
        <f>IF(wskakunin_kanri11_KENTIKUSI_NO="","",wskakunin_kanri11_KENTIKUSI_NO)</f>
        <v/>
      </c>
      <c r="H749" s="15"/>
    </row>
    <row r="750" spans="1:8" ht="15" customHeight="1" x14ac:dyDescent="0.15">
      <c r="A750" s="56"/>
      <c r="B750" s="67" t="s">
        <v>92</v>
      </c>
      <c r="C750" s="14" t="s">
        <v>2213</v>
      </c>
      <c r="D750" s="141"/>
      <c r="E750" s="14" t="s">
        <v>2214</v>
      </c>
      <c r="F750" s="141" t="str">
        <f>IF(wskakunin_kanri11_NAME="", "", wskakunin_kanri11_NAME)</f>
        <v/>
      </c>
      <c r="H750" s="15"/>
    </row>
    <row r="751" spans="1:8" ht="15" customHeight="1" x14ac:dyDescent="0.15">
      <c r="A751" s="56"/>
      <c r="B751" s="67" t="s">
        <v>608</v>
      </c>
      <c r="C751" s="14" t="s">
        <v>2215</v>
      </c>
      <c r="D751" s="141"/>
      <c r="E751" s="14" t="s">
        <v>2216</v>
      </c>
      <c r="F751" s="141" t="str">
        <f>IF(wskakunin_kanri11_JIMU__sikaku="", "", wskakunin_kanri11_JIMU__sikaku)</f>
        <v/>
      </c>
      <c r="H751" s="15"/>
    </row>
    <row r="752" spans="1:8" ht="15" customHeight="1" x14ac:dyDescent="0.15">
      <c r="A752" s="40"/>
      <c r="B752" s="73" t="s">
        <v>93</v>
      </c>
      <c r="C752" s="14" t="s">
        <v>2217</v>
      </c>
      <c r="D752" s="141"/>
      <c r="E752" s="14" t="s">
        <v>2218</v>
      </c>
      <c r="F752" s="141" t="str">
        <f>IF(wskakunin_kanri11_JIMU_SIKAKU__label="","",wskakunin_kanri11_JIMU_SIKAKU__label)</f>
        <v/>
      </c>
      <c r="H752" s="15"/>
    </row>
    <row r="753" spans="1:8" ht="15" customHeight="1" x14ac:dyDescent="0.15">
      <c r="A753" s="40"/>
      <c r="B753" s="73" t="s">
        <v>609</v>
      </c>
      <c r="C753" s="14" t="s">
        <v>2219</v>
      </c>
      <c r="D753" s="141"/>
      <c r="E753" s="14" t="s">
        <v>2220</v>
      </c>
      <c r="F753" s="141" t="str">
        <f>IF(wskakunin_kanri11_JIMU_TOUROKU_KIKAN__label="","",wskakunin_kanri11_JIMU_TOUROKU_KIKAN__label)</f>
        <v/>
      </c>
      <c r="H753" s="15"/>
    </row>
    <row r="754" spans="1:8" ht="15" customHeight="1" x14ac:dyDescent="0.15">
      <c r="A754" s="40"/>
      <c r="B754" s="73" t="s">
        <v>610</v>
      </c>
      <c r="C754" s="14" t="s">
        <v>2221</v>
      </c>
      <c r="D754" s="213"/>
      <c r="E754" s="14" t="s">
        <v>2222</v>
      </c>
      <c r="F754" s="141" t="str">
        <f>IF(wskakunin_kanri11_JIMU_NO="","",wskakunin_kanri11_JIMU_NO)</f>
        <v/>
      </c>
      <c r="H754" s="15"/>
    </row>
    <row r="755" spans="1:8" ht="15" customHeight="1" x14ac:dyDescent="0.15">
      <c r="A755" s="56"/>
      <c r="B755" s="67" t="s">
        <v>94</v>
      </c>
      <c r="C755" s="14" t="s">
        <v>2223</v>
      </c>
      <c r="D755" s="141"/>
      <c r="E755" s="14" t="s">
        <v>2224</v>
      </c>
      <c r="F755" s="141" t="str">
        <f>IF(wskakunin_kanri11_JIMU_NAME="", "", wskakunin_kanri11_JIMU_NAME)</f>
        <v/>
      </c>
      <c r="H755" s="15"/>
    </row>
    <row r="756" spans="1:8" ht="15" customHeight="1" x14ac:dyDescent="0.15">
      <c r="A756" s="56"/>
      <c r="B756" s="67" t="s">
        <v>5</v>
      </c>
      <c r="C756" s="14" t="s">
        <v>2225</v>
      </c>
      <c r="D756" s="213"/>
      <c r="E756" s="14" t="s">
        <v>2226</v>
      </c>
      <c r="F756" s="141" t="str">
        <f>IF(wskakunin_kanri11_ZIP="", "", wskakunin_kanri11_ZIP)</f>
        <v/>
      </c>
      <c r="H756" s="15"/>
    </row>
    <row r="757" spans="1:8" ht="15" customHeight="1" x14ac:dyDescent="0.15">
      <c r="A757" s="56"/>
      <c r="B757" s="67" t="s">
        <v>8</v>
      </c>
      <c r="C757" s="14" t="s">
        <v>2227</v>
      </c>
      <c r="D757" s="141"/>
      <c r="E757" s="14" t="s">
        <v>2228</v>
      </c>
      <c r="F757" s="141" t="str">
        <f>IF(wskakunin_kanri11__address="", "", wskakunin_kanri11__address)</f>
        <v/>
      </c>
      <c r="H757" s="15"/>
    </row>
    <row r="758" spans="1:8" ht="15" customHeight="1" x14ac:dyDescent="0.15">
      <c r="A758" s="56"/>
      <c r="B758" s="67" t="s">
        <v>7</v>
      </c>
      <c r="C758" s="14" t="s">
        <v>2229</v>
      </c>
      <c r="D758" s="213"/>
      <c r="E758" s="14" t="s">
        <v>2230</v>
      </c>
      <c r="F758" s="141" t="str">
        <f>IF(wskakunin_kanri11_TEL="", "", wskakunin_kanri11_TEL)</f>
        <v/>
      </c>
      <c r="H758" s="15"/>
    </row>
    <row r="759" spans="1:8" ht="15" customHeight="1" x14ac:dyDescent="0.15">
      <c r="A759" s="56"/>
      <c r="B759" s="67" t="s">
        <v>728</v>
      </c>
      <c r="C759" s="14" t="s">
        <v>2231</v>
      </c>
      <c r="D759" s="213"/>
      <c r="E759" s="14" t="s">
        <v>2232</v>
      </c>
      <c r="F759" s="141" t="str">
        <f>IF(wskakunin_kanri11_DOC="","",wskakunin_kanri11_DOC)</f>
        <v/>
      </c>
      <c r="H759" s="15"/>
    </row>
    <row r="760" spans="1:8" ht="15" customHeight="1" x14ac:dyDescent="0.15">
      <c r="A760" s="40"/>
      <c r="B760" s="70"/>
      <c r="G760" s="15"/>
      <c r="H760" s="15"/>
    </row>
    <row r="761" spans="1:8" ht="15" customHeight="1" x14ac:dyDescent="0.15">
      <c r="A761" s="41" t="s">
        <v>2358</v>
      </c>
      <c r="B761" s="40" t="s">
        <v>2036</v>
      </c>
      <c r="H761" s="15"/>
    </row>
    <row r="762" spans="1:8" ht="15" customHeight="1" x14ac:dyDescent="0.15">
      <c r="A762" s="23"/>
      <c r="B762" s="67" t="s">
        <v>606</v>
      </c>
      <c r="C762" s="14" t="s">
        <v>2359</v>
      </c>
      <c r="D762" s="141"/>
      <c r="E762" s="14" t="s">
        <v>2360</v>
      </c>
      <c r="F762" s="141" t="str">
        <f>IF(wskakunin_kanri12__sikaku="", "", wskakunin_kanri12__sikaku)</f>
        <v/>
      </c>
      <c r="H762" s="15"/>
    </row>
    <row r="763" spans="1:8" ht="15" customHeight="1" x14ac:dyDescent="0.15">
      <c r="A763" s="23"/>
      <c r="B763" s="67" t="s">
        <v>607</v>
      </c>
      <c r="C763" s="14" t="s">
        <v>2361</v>
      </c>
      <c r="D763" s="141"/>
      <c r="E763" s="14" t="s">
        <v>2362</v>
      </c>
      <c r="F763" s="141" t="str">
        <f>IF(wskakunin_kanri12_SIKAKU__label="", "", wskakunin_kanri12_SIKAKU__label)</f>
        <v/>
      </c>
      <c r="H763" s="15"/>
    </row>
    <row r="764" spans="1:8" ht="15" customHeight="1" x14ac:dyDescent="0.15">
      <c r="A764" s="28"/>
      <c r="B764" s="73" t="s">
        <v>602</v>
      </c>
      <c r="C764" s="14" t="s">
        <v>2363</v>
      </c>
      <c r="D764" s="141"/>
      <c r="E764" s="14" t="s">
        <v>2364</v>
      </c>
      <c r="F764" s="141" t="str">
        <f>IF(wskakunin_kanri12_TOUROKU_KIKAN__label="","",wskakunin_kanri12_TOUROKU_KIKAN__label)</f>
        <v/>
      </c>
      <c r="H764" s="15"/>
    </row>
    <row r="765" spans="1:8" ht="15" customHeight="1" x14ac:dyDescent="0.15">
      <c r="A765" s="28"/>
      <c r="B765" s="73" t="s">
        <v>603</v>
      </c>
      <c r="C765" s="14" t="s">
        <v>2365</v>
      </c>
      <c r="D765" s="213"/>
      <c r="E765" s="14" t="s">
        <v>2366</v>
      </c>
      <c r="F765" s="141" t="str">
        <f>IF(wskakunin_kanri12_KENTIKUSI_NO="","",wskakunin_kanri12_KENTIKUSI_NO)</f>
        <v/>
      </c>
      <c r="H765" s="15"/>
    </row>
    <row r="766" spans="1:8" ht="15" customHeight="1" x14ac:dyDescent="0.15">
      <c r="A766" s="56"/>
      <c r="B766" s="67" t="s">
        <v>92</v>
      </c>
      <c r="C766" s="14" t="s">
        <v>2367</v>
      </c>
      <c r="D766" s="141"/>
      <c r="E766" s="14" t="s">
        <v>2368</v>
      </c>
      <c r="F766" s="141" t="str">
        <f>IF(wskakunin_kanri12_NAME="", "", wskakunin_kanri12_NAME)</f>
        <v/>
      </c>
      <c r="H766" s="15"/>
    </row>
    <row r="767" spans="1:8" ht="15" customHeight="1" x14ac:dyDescent="0.15">
      <c r="A767" s="56"/>
      <c r="B767" s="67" t="s">
        <v>608</v>
      </c>
      <c r="C767" s="14" t="s">
        <v>2369</v>
      </c>
      <c r="D767" s="141"/>
      <c r="E767" s="14" t="s">
        <v>2370</v>
      </c>
      <c r="F767" s="141" t="str">
        <f>IF(wskakunin_kanri12_JIMU__sikaku="", "", wskakunin_kanri12_JIMU__sikaku)</f>
        <v/>
      </c>
      <c r="H767" s="15"/>
    </row>
    <row r="768" spans="1:8" ht="15" customHeight="1" x14ac:dyDescent="0.15">
      <c r="A768" s="40"/>
      <c r="B768" s="73" t="s">
        <v>93</v>
      </c>
      <c r="C768" s="14" t="s">
        <v>2371</v>
      </c>
      <c r="D768" s="141"/>
      <c r="E768" s="14" t="s">
        <v>2372</v>
      </c>
      <c r="F768" s="141" t="str">
        <f>IF(wskakunin_kanri12_JIMU_SIKAKU__label="","",wskakunin_kanri12_JIMU_SIKAKU__label)</f>
        <v/>
      </c>
      <c r="H768" s="15"/>
    </row>
    <row r="769" spans="1:8" ht="15" customHeight="1" x14ac:dyDescent="0.15">
      <c r="A769" s="40"/>
      <c r="B769" s="73" t="s">
        <v>609</v>
      </c>
      <c r="C769" s="14" t="s">
        <v>2373</v>
      </c>
      <c r="D769" s="141"/>
      <c r="E769" s="14" t="s">
        <v>2374</v>
      </c>
      <c r="F769" s="141" t="str">
        <f>IF(wskakunin_kanri12_JIMU_TOUROKU_KIKAN__label="","",wskakunin_kanri12_JIMU_TOUROKU_KIKAN__label)</f>
        <v/>
      </c>
      <c r="H769" s="15"/>
    </row>
    <row r="770" spans="1:8" ht="15" customHeight="1" x14ac:dyDescent="0.15">
      <c r="A770" s="40"/>
      <c r="B770" s="73" t="s">
        <v>610</v>
      </c>
      <c r="C770" s="14" t="s">
        <v>2375</v>
      </c>
      <c r="D770" s="213"/>
      <c r="E770" s="14" t="s">
        <v>2376</v>
      </c>
      <c r="F770" s="141" t="str">
        <f>IF(wskakunin_kanri12_JIMU_NO="","",wskakunin_kanri12_JIMU_NO)</f>
        <v/>
      </c>
      <c r="H770" s="15"/>
    </row>
    <row r="771" spans="1:8" ht="15" customHeight="1" x14ac:dyDescent="0.15">
      <c r="A771" s="56"/>
      <c r="B771" s="67" t="s">
        <v>94</v>
      </c>
      <c r="C771" s="14" t="s">
        <v>2377</v>
      </c>
      <c r="D771" s="141"/>
      <c r="E771" s="14" t="s">
        <v>2378</v>
      </c>
      <c r="F771" s="141" t="str">
        <f>IF(wskakunin_kanri12_JIMU_NAME="", "", wskakunin_kanri12_JIMU_NAME)</f>
        <v/>
      </c>
      <c r="H771" s="15"/>
    </row>
    <row r="772" spans="1:8" ht="15" customHeight="1" x14ac:dyDescent="0.15">
      <c r="A772" s="56"/>
      <c r="B772" s="67" t="s">
        <v>5</v>
      </c>
      <c r="C772" s="14" t="s">
        <v>2379</v>
      </c>
      <c r="D772" s="213"/>
      <c r="E772" s="14" t="s">
        <v>2380</v>
      </c>
      <c r="F772" s="141" t="str">
        <f>IF(wskakunin_kanri12_ZIP="", "", wskakunin_kanri12_ZIP)</f>
        <v/>
      </c>
      <c r="H772" s="15"/>
    </row>
    <row r="773" spans="1:8" ht="15" customHeight="1" x14ac:dyDescent="0.15">
      <c r="A773" s="56"/>
      <c r="B773" s="67" t="s">
        <v>8</v>
      </c>
      <c r="C773" s="14" t="s">
        <v>2381</v>
      </c>
      <c r="D773" s="141"/>
      <c r="E773" s="14" t="s">
        <v>2382</v>
      </c>
      <c r="F773" s="141" t="str">
        <f>IF(wskakunin_kanri12__address="", "", wskakunin_kanri12__address)</f>
        <v/>
      </c>
      <c r="H773" s="15"/>
    </row>
    <row r="774" spans="1:8" ht="15" customHeight="1" x14ac:dyDescent="0.15">
      <c r="A774" s="56"/>
      <c r="B774" s="67" t="s">
        <v>7</v>
      </c>
      <c r="C774" s="14" t="s">
        <v>2383</v>
      </c>
      <c r="D774" s="213"/>
      <c r="E774" s="14" t="s">
        <v>2384</v>
      </c>
      <c r="F774" s="141" t="str">
        <f>IF(wskakunin_kanri12_TEL="", "", wskakunin_kanri12_TEL)</f>
        <v/>
      </c>
      <c r="H774" s="15"/>
    </row>
    <row r="775" spans="1:8" ht="15" customHeight="1" x14ac:dyDescent="0.15">
      <c r="A775" s="56"/>
      <c r="B775" s="67" t="s">
        <v>728</v>
      </c>
      <c r="C775" s="14" t="s">
        <v>2385</v>
      </c>
      <c r="D775" s="213"/>
      <c r="E775" s="14" t="s">
        <v>2386</v>
      </c>
      <c r="F775" s="141" t="str">
        <f>IF(wskakunin_kanri12_DOC="","",wskakunin_kanri12_DOC)</f>
        <v/>
      </c>
      <c r="H775" s="15"/>
    </row>
    <row r="776" spans="1:8" ht="15" customHeight="1" x14ac:dyDescent="0.15">
      <c r="A776" s="40"/>
      <c r="B776" s="70"/>
      <c r="G776" s="15"/>
      <c r="H776" s="15"/>
    </row>
    <row r="777" spans="1:8" ht="15" customHeight="1" x14ac:dyDescent="0.15">
      <c r="A777" s="48" t="s">
        <v>101</v>
      </c>
      <c r="B777" s="49"/>
      <c r="D777" s="15"/>
      <c r="G777" s="15"/>
      <c r="H777" s="15"/>
    </row>
    <row r="778" spans="1:8" ht="15" customHeight="1" x14ac:dyDescent="0.15">
      <c r="A778" s="57"/>
      <c r="B778" s="72" t="s">
        <v>92</v>
      </c>
      <c r="C778" s="14" t="s">
        <v>1005</v>
      </c>
      <c r="D778" s="219" t="s">
        <v>3479</v>
      </c>
      <c r="E778" s="14" t="s">
        <v>1006</v>
      </c>
      <c r="F778" s="219" t="str">
        <f>IF(wskakunin_sekou1_NAME="", "", wskakunin_sekou1_NAME)</f>
        <v>松坂　直樹</v>
      </c>
      <c r="G778" s="15"/>
      <c r="H778" s="15"/>
    </row>
    <row r="779" spans="1:8" ht="15" customHeight="1" x14ac:dyDescent="0.15">
      <c r="A779" s="57"/>
      <c r="B779" s="72" t="s">
        <v>1529</v>
      </c>
      <c r="C779" s="14" t="s">
        <v>1007</v>
      </c>
      <c r="D779" s="219" t="s">
        <v>3480</v>
      </c>
      <c r="E779" s="14" t="s">
        <v>1008</v>
      </c>
      <c r="F779" s="219" t="str">
        <f>IF(wskakunin_sekou1_SEKOU__sikaku="", "", wskakunin_sekou1_SEKOU__sikaku)</f>
        <v>国土交通大臣第(特-2)27833号</v>
      </c>
      <c r="G779" s="15"/>
      <c r="H779" s="15"/>
    </row>
    <row r="780" spans="1:8" ht="15" customHeight="1" x14ac:dyDescent="0.15">
      <c r="A780" s="57"/>
      <c r="B780" s="72" t="s">
        <v>660</v>
      </c>
      <c r="C780" s="14" t="s">
        <v>1532</v>
      </c>
      <c r="D780" s="219" t="s">
        <v>3453</v>
      </c>
      <c r="E780" s="14" t="s">
        <v>1530</v>
      </c>
      <c r="F780" s="219" t="str">
        <f>IF(wskakunin_sekou1_SEKOU_SIKAKU__label="", "",wskakunin_sekou1_SEKOU_SIKAKU__label)</f>
        <v>国土交通大臣</v>
      </c>
      <c r="G780" s="15"/>
      <c r="H780" s="15"/>
    </row>
    <row r="781" spans="1:8" ht="15" customHeight="1" x14ac:dyDescent="0.15">
      <c r="A781" s="57"/>
      <c r="B781" s="72" t="s">
        <v>741</v>
      </c>
      <c r="C781" s="14" t="s">
        <v>1528</v>
      </c>
      <c r="D781" s="221" t="s">
        <v>3481</v>
      </c>
      <c r="E781" s="14" t="s">
        <v>1531</v>
      </c>
      <c r="F781" s="219" t="str">
        <f>IF(wskakunin_sekou1_SEKOU_NO="","",wskakunin_sekou1_SEKOU_NO)</f>
        <v>(特-2)27833</v>
      </c>
      <c r="G781" s="15"/>
      <c r="H781" s="15"/>
    </row>
    <row r="782" spans="1:8" ht="15" customHeight="1" x14ac:dyDescent="0.15">
      <c r="A782" s="57"/>
      <c r="B782" s="72" t="s">
        <v>104</v>
      </c>
      <c r="C782" s="14" t="s">
        <v>1009</v>
      </c>
      <c r="D782" s="219" t="s">
        <v>3478</v>
      </c>
      <c r="E782" s="14" t="s">
        <v>1010</v>
      </c>
      <c r="F782" s="219" t="str">
        <f>IF(wskakunin_sekou1_JIMU_NAME="", "", wskakunin_sekou1_JIMU_NAME)</f>
        <v>株式会社コラボハウス</v>
      </c>
      <c r="G782" s="15"/>
      <c r="H782" s="15"/>
    </row>
    <row r="783" spans="1:8" ht="15" customHeight="1" x14ac:dyDescent="0.15">
      <c r="A783" s="57"/>
      <c r="B783" s="72" t="s">
        <v>5</v>
      </c>
      <c r="C783" s="14" t="s">
        <v>1011</v>
      </c>
      <c r="D783" s="221" t="s">
        <v>3464</v>
      </c>
      <c r="E783" s="14" t="s">
        <v>1012</v>
      </c>
      <c r="F783" s="219" t="str">
        <f>IF(wskakunin_sekou1_ZIP="", "", wskakunin_sekou1_ZIP)</f>
        <v>790-0916</v>
      </c>
      <c r="G783" s="15"/>
      <c r="H783" s="15"/>
    </row>
    <row r="784" spans="1:8" ht="15" customHeight="1" x14ac:dyDescent="0.15">
      <c r="A784" s="57"/>
      <c r="B784" s="72" t="s">
        <v>8</v>
      </c>
      <c r="C784" s="14" t="s">
        <v>1013</v>
      </c>
      <c r="D784" s="219" t="s">
        <v>3477</v>
      </c>
      <c r="E784" s="14" t="s">
        <v>1014</v>
      </c>
      <c r="F784" s="219" t="str">
        <f>IF(wskakunin_sekou1__address="", "", wskakunin_sekou1__address)</f>
        <v>愛媛県松山市束本1丁目6-10 2F</v>
      </c>
      <c r="G784" s="15"/>
      <c r="H784" s="15"/>
    </row>
    <row r="785" spans="1:8" ht="15" customHeight="1" x14ac:dyDescent="0.15">
      <c r="A785" s="57"/>
      <c r="B785" s="72" t="s">
        <v>7</v>
      </c>
      <c r="C785" s="14" t="s">
        <v>1015</v>
      </c>
      <c r="D785" s="221" t="s">
        <v>3463</v>
      </c>
      <c r="E785" s="14" t="s">
        <v>1016</v>
      </c>
      <c r="F785" s="219" t="str">
        <f>IF(wskakunin_sekou1_TEL="", "", wskakunin_sekou1_TEL)</f>
        <v>089-947-1313</v>
      </c>
      <c r="G785" s="15"/>
      <c r="H785" s="15"/>
    </row>
    <row r="786" spans="1:8" ht="15" customHeight="1" x14ac:dyDescent="0.15">
      <c r="A786" s="57"/>
      <c r="B786" s="72" t="s">
        <v>2723</v>
      </c>
      <c r="D786" s="30"/>
      <c r="E786" s="14" t="s">
        <v>2724</v>
      </c>
      <c r="F786" s="219">
        <f>IF(AND(cst_wskakunin_sekou1_NAME="",cst_wskakunin_sekou1_SEKOU__sikaku="",cst_wskakunin_sekou1_SEKOU_SIKAKU="",cst_wskakunin_sekou1_SEKOU_NO="",cst_wskakunin_sekou1_JIMU_NAME="",cst_wskakunin_sekou1_ZIP="",cst_wskakunin_sekou1__address="",cst_wskakunin_sekou1_TEL=""),1,2)</f>
        <v>2</v>
      </c>
      <c r="G786" s="15" t="s">
        <v>2725</v>
      </c>
      <c r="H786" s="15"/>
    </row>
    <row r="787" spans="1:8" ht="15" customHeight="1" x14ac:dyDescent="0.15">
      <c r="A787" s="48" t="s">
        <v>2320</v>
      </c>
      <c r="B787" s="49"/>
      <c r="D787" s="30"/>
      <c r="F787" s="15"/>
      <c r="G787" s="15"/>
      <c r="H787" s="15"/>
    </row>
    <row r="788" spans="1:8" ht="15" customHeight="1" x14ac:dyDescent="0.15">
      <c r="A788" s="57"/>
      <c r="B788" s="72" t="s">
        <v>92</v>
      </c>
      <c r="C788" s="14" t="s">
        <v>2240</v>
      </c>
      <c r="D788" s="219"/>
      <c r="E788" s="14" t="s">
        <v>2241</v>
      </c>
      <c r="F788" s="219" t="str">
        <f>IF(wskakunin_sekou2_NAME="", "", wskakunin_sekou2_NAME)</f>
        <v/>
      </c>
      <c r="H788" s="15"/>
    </row>
    <row r="789" spans="1:8" ht="15" customHeight="1" x14ac:dyDescent="0.15">
      <c r="A789" s="57"/>
      <c r="B789" s="72" t="s">
        <v>1529</v>
      </c>
      <c r="C789" s="14" t="s">
        <v>2242</v>
      </c>
      <c r="D789" s="219"/>
      <c r="E789" s="14" t="s">
        <v>2243</v>
      </c>
      <c r="F789" s="219" t="str">
        <f>IF(wskakunin_sekou2_SEKOU__sikaku="", "", wskakunin_sekou2_SEKOU__sikaku)</f>
        <v/>
      </c>
      <c r="H789" s="15"/>
    </row>
    <row r="790" spans="1:8" ht="15" customHeight="1" x14ac:dyDescent="0.15">
      <c r="A790" s="57"/>
      <c r="B790" s="72" t="s">
        <v>660</v>
      </c>
      <c r="C790" s="14" t="s">
        <v>2244</v>
      </c>
      <c r="D790" s="219"/>
      <c r="E790" s="14" t="s">
        <v>2245</v>
      </c>
      <c r="F790" s="219" t="str">
        <f>IF(wskakunin_sekou2_SEKOU_SIKAKU__label="", "",wskakunin_sekou2_SEKOU_SIKAKU__label)</f>
        <v/>
      </c>
      <c r="H790" s="15"/>
    </row>
    <row r="791" spans="1:8" ht="15" customHeight="1" x14ac:dyDescent="0.15">
      <c r="A791" s="57"/>
      <c r="B791" s="72" t="s">
        <v>741</v>
      </c>
      <c r="C791" s="14" t="s">
        <v>2246</v>
      </c>
      <c r="D791" s="221"/>
      <c r="E791" s="14" t="s">
        <v>2247</v>
      </c>
      <c r="F791" s="219" t="str">
        <f>IF(wskakunin_sekou2_SEKOU_NO="","",wskakunin_sekou2_SEKOU_NO)</f>
        <v/>
      </c>
      <c r="H791" s="15"/>
    </row>
    <row r="792" spans="1:8" ht="15" customHeight="1" x14ac:dyDescent="0.15">
      <c r="A792" s="57"/>
      <c r="B792" s="72" t="s">
        <v>104</v>
      </c>
      <c r="C792" s="14" t="s">
        <v>2248</v>
      </c>
      <c r="D792" s="219"/>
      <c r="E792" s="14" t="s">
        <v>2249</v>
      </c>
      <c r="F792" s="219" t="str">
        <f>IF(wskakunin_sekou2_JIMU_NAME="", "", wskakunin_sekou2_JIMU_NAME)</f>
        <v/>
      </c>
      <c r="H792" s="15"/>
    </row>
    <row r="793" spans="1:8" ht="15" customHeight="1" x14ac:dyDescent="0.15">
      <c r="A793" s="57"/>
      <c r="B793" s="72" t="s">
        <v>5</v>
      </c>
      <c r="C793" s="14" t="s">
        <v>2250</v>
      </c>
      <c r="D793" s="221"/>
      <c r="E793" s="14" t="s">
        <v>2251</v>
      </c>
      <c r="F793" s="219" t="str">
        <f>IF(wskakunin_sekou2_ZIP="", "", wskakunin_sekou2_ZIP)</f>
        <v/>
      </c>
      <c r="H793" s="15"/>
    </row>
    <row r="794" spans="1:8" ht="15" customHeight="1" x14ac:dyDescent="0.15">
      <c r="A794" s="57"/>
      <c r="B794" s="72" t="s">
        <v>8</v>
      </c>
      <c r="C794" s="14" t="s">
        <v>2252</v>
      </c>
      <c r="D794" s="219"/>
      <c r="E794" s="14" t="s">
        <v>2253</v>
      </c>
      <c r="F794" s="219" t="str">
        <f>IF(wskakunin_sekou2__address="", "", wskakunin_sekou2__address)</f>
        <v/>
      </c>
      <c r="H794" s="15"/>
    </row>
    <row r="795" spans="1:8" ht="15" customHeight="1" x14ac:dyDescent="0.15">
      <c r="A795" s="57"/>
      <c r="B795" s="72" t="s">
        <v>7</v>
      </c>
      <c r="C795" s="14" t="s">
        <v>2254</v>
      </c>
      <c r="D795" s="221"/>
      <c r="E795" s="14" t="s">
        <v>2255</v>
      </c>
      <c r="F795" s="219" t="str">
        <f>IF(wskakunin_sekou2_TEL="", "", wskakunin_sekou2_TEL)</f>
        <v/>
      </c>
      <c r="H795" s="15"/>
    </row>
    <row r="796" spans="1:8" ht="15" customHeight="1" x14ac:dyDescent="0.15">
      <c r="A796" s="57"/>
      <c r="B796" s="72"/>
      <c r="D796" s="30"/>
      <c r="F796" s="15"/>
      <c r="H796" s="15"/>
    </row>
    <row r="797" spans="1:8" ht="15" customHeight="1" x14ac:dyDescent="0.15">
      <c r="A797" s="48" t="s">
        <v>2321</v>
      </c>
      <c r="B797" s="49"/>
      <c r="D797" s="30"/>
      <c r="F797" s="15"/>
      <c r="H797" s="15"/>
    </row>
    <row r="798" spans="1:8" ht="15" customHeight="1" x14ac:dyDescent="0.15">
      <c r="A798" s="57"/>
      <c r="B798" s="72" t="s">
        <v>92</v>
      </c>
      <c r="C798" s="14" t="s">
        <v>2256</v>
      </c>
      <c r="D798" s="219"/>
      <c r="E798" s="14" t="s">
        <v>2257</v>
      </c>
      <c r="F798" s="219" t="str">
        <f>IF(wskakunin_sekou3_NAME="", "", wskakunin_sekou3_NAME)</f>
        <v/>
      </c>
      <c r="H798" s="15"/>
    </row>
    <row r="799" spans="1:8" ht="15" customHeight="1" x14ac:dyDescent="0.15">
      <c r="A799" s="57"/>
      <c r="B799" s="72" t="s">
        <v>1529</v>
      </c>
      <c r="C799" s="14" t="s">
        <v>2258</v>
      </c>
      <c r="D799" s="219"/>
      <c r="E799" s="14" t="s">
        <v>2259</v>
      </c>
      <c r="F799" s="219" t="str">
        <f>IF(wskakunin_sekou3_SEKOU__sikaku="", "", wskakunin_sekou3_SEKOU__sikaku)</f>
        <v/>
      </c>
      <c r="H799" s="15"/>
    </row>
    <row r="800" spans="1:8" ht="15" customHeight="1" x14ac:dyDescent="0.15">
      <c r="A800" s="57"/>
      <c r="B800" s="72" t="s">
        <v>660</v>
      </c>
      <c r="C800" s="14" t="s">
        <v>2260</v>
      </c>
      <c r="D800" s="219"/>
      <c r="E800" s="14" t="s">
        <v>2261</v>
      </c>
      <c r="F800" s="219" t="str">
        <f>IF(wskakunin_sekou3_SEKOU_SIKAKU__label="", "",wskakunin_sekou3_SEKOU_SIKAKU__label)</f>
        <v/>
      </c>
      <c r="H800" s="15"/>
    </row>
    <row r="801" spans="1:8" ht="15" customHeight="1" x14ac:dyDescent="0.15">
      <c r="A801" s="57"/>
      <c r="B801" s="72" t="s">
        <v>741</v>
      </c>
      <c r="C801" s="14" t="s">
        <v>2262</v>
      </c>
      <c r="D801" s="221"/>
      <c r="E801" s="14" t="s">
        <v>2263</v>
      </c>
      <c r="F801" s="219" t="str">
        <f>IF(wskakunin_sekou3_SEKOU_NO="","",wskakunin_sekou3_SEKOU_NO)</f>
        <v/>
      </c>
      <c r="H801" s="15"/>
    </row>
    <row r="802" spans="1:8" ht="15" customHeight="1" x14ac:dyDescent="0.15">
      <c r="A802" s="57"/>
      <c r="B802" s="72" t="s">
        <v>104</v>
      </c>
      <c r="C802" s="14" t="s">
        <v>2264</v>
      </c>
      <c r="D802" s="219"/>
      <c r="E802" s="14" t="s">
        <v>2265</v>
      </c>
      <c r="F802" s="219" t="str">
        <f>IF(wskakunin_sekou3_JIMU_NAME="", "", wskakunin_sekou3_JIMU_NAME)</f>
        <v/>
      </c>
      <c r="H802" s="15"/>
    </row>
    <row r="803" spans="1:8" ht="15" customHeight="1" x14ac:dyDescent="0.15">
      <c r="A803" s="57"/>
      <c r="B803" s="72" t="s">
        <v>5</v>
      </c>
      <c r="C803" s="14" t="s">
        <v>2266</v>
      </c>
      <c r="D803" s="221"/>
      <c r="E803" s="14" t="s">
        <v>2267</v>
      </c>
      <c r="F803" s="219" t="str">
        <f>IF(wskakunin_sekou3_ZIP="", "", wskakunin_sekou3_ZIP)</f>
        <v/>
      </c>
      <c r="H803" s="15"/>
    </row>
    <row r="804" spans="1:8" ht="15" customHeight="1" x14ac:dyDescent="0.15">
      <c r="A804" s="57"/>
      <c r="B804" s="72" t="s">
        <v>8</v>
      </c>
      <c r="C804" s="14" t="s">
        <v>2268</v>
      </c>
      <c r="D804" s="219"/>
      <c r="E804" s="14" t="s">
        <v>2269</v>
      </c>
      <c r="F804" s="219" t="str">
        <f>IF(wskakunin_sekou3__address="", "", wskakunin_sekou3__address)</f>
        <v/>
      </c>
      <c r="H804" s="15"/>
    </row>
    <row r="805" spans="1:8" ht="15" customHeight="1" x14ac:dyDescent="0.15">
      <c r="A805" s="57"/>
      <c r="B805" s="72" t="s">
        <v>7</v>
      </c>
      <c r="C805" s="14" t="s">
        <v>2270</v>
      </c>
      <c r="D805" s="221"/>
      <c r="E805" s="14" t="s">
        <v>2271</v>
      </c>
      <c r="F805" s="219" t="str">
        <f>IF(wskakunin_sekou3_TEL="", "", wskakunin_sekou3_TEL)</f>
        <v/>
      </c>
      <c r="H805" s="15"/>
    </row>
    <row r="806" spans="1:8" ht="15" customHeight="1" x14ac:dyDescent="0.15">
      <c r="A806" s="57"/>
      <c r="B806" s="72"/>
      <c r="D806" s="30"/>
      <c r="F806" s="15"/>
      <c r="H806" s="15"/>
    </row>
    <row r="807" spans="1:8" ht="15" customHeight="1" x14ac:dyDescent="0.15">
      <c r="A807" s="48" t="s">
        <v>2322</v>
      </c>
      <c r="B807" s="49"/>
      <c r="D807" s="30"/>
      <c r="F807" s="15"/>
      <c r="H807" s="15"/>
    </row>
    <row r="808" spans="1:8" ht="15" customHeight="1" x14ac:dyDescent="0.15">
      <c r="A808" s="57"/>
      <c r="B808" s="72" t="s">
        <v>92</v>
      </c>
      <c r="C808" s="14" t="s">
        <v>2272</v>
      </c>
      <c r="D808" s="219"/>
      <c r="E808" s="14" t="s">
        <v>2273</v>
      </c>
      <c r="F808" s="219" t="str">
        <f>IF(wskakunin_sekou4_NAME="", "", wskakunin_sekou4_NAME)</f>
        <v/>
      </c>
      <c r="H808" s="15"/>
    </row>
    <row r="809" spans="1:8" ht="15" customHeight="1" x14ac:dyDescent="0.15">
      <c r="A809" s="57"/>
      <c r="B809" s="72" t="s">
        <v>1529</v>
      </c>
      <c r="C809" s="14" t="s">
        <v>2274</v>
      </c>
      <c r="D809" s="219"/>
      <c r="E809" s="14" t="s">
        <v>2275</v>
      </c>
      <c r="F809" s="219" t="str">
        <f>IF(wskakunin_sekou4_SEKOU__sikaku="", "", wskakunin_sekou4_SEKOU__sikaku)</f>
        <v/>
      </c>
      <c r="H809" s="15"/>
    </row>
    <row r="810" spans="1:8" ht="15" customHeight="1" x14ac:dyDescent="0.15">
      <c r="A810" s="57"/>
      <c r="B810" s="72" t="s">
        <v>660</v>
      </c>
      <c r="C810" s="14" t="s">
        <v>2276</v>
      </c>
      <c r="D810" s="219"/>
      <c r="E810" s="14" t="s">
        <v>2277</v>
      </c>
      <c r="F810" s="219" t="str">
        <f>IF(wskakunin_sekou4_SEKOU_SIKAKU__label="", "",wskakunin_sekou4_SEKOU_SIKAKU__label)</f>
        <v/>
      </c>
      <c r="H810" s="15"/>
    </row>
    <row r="811" spans="1:8" ht="15" customHeight="1" x14ac:dyDescent="0.15">
      <c r="A811" s="57"/>
      <c r="B811" s="72" t="s">
        <v>741</v>
      </c>
      <c r="C811" s="14" t="s">
        <v>2278</v>
      </c>
      <c r="D811" s="221"/>
      <c r="E811" s="14" t="s">
        <v>2279</v>
      </c>
      <c r="F811" s="219" t="str">
        <f>IF(wskakunin_sekou4_SEKOU_NO="","",wskakunin_sekou4_SEKOU_NO)</f>
        <v/>
      </c>
      <c r="H811" s="15"/>
    </row>
    <row r="812" spans="1:8" ht="15" customHeight="1" x14ac:dyDescent="0.15">
      <c r="A812" s="57"/>
      <c r="B812" s="72" t="s">
        <v>104</v>
      </c>
      <c r="C812" s="14" t="s">
        <v>2280</v>
      </c>
      <c r="D812" s="219"/>
      <c r="E812" s="14" t="s">
        <v>2281</v>
      </c>
      <c r="F812" s="219" t="str">
        <f>IF(wskakunin_sekou4_JIMU_NAME="", "", wskakunin_sekou4_JIMU_NAME)</f>
        <v/>
      </c>
      <c r="H812" s="15"/>
    </row>
    <row r="813" spans="1:8" ht="15" customHeight="1" x14ac:dyDescent="0.15">
      <c r="A813" s="57"/>
      <c r="B813" s="72" t="s">
        <v>5</v>
      </c>
      <c r="C813" s="14" t="s">
        <v>2282</v>
      </c>
      <c r="D813" s="221"/>
      <c r="E813" s="14" t="s">
        <v>2283</v>
      </c>
      <c r="F813" s="219" t="str">
        <f>IF(wskakunin_sekou4_ZIP="", "", wskakunin_sekou4_ZIP)</f>
        <v/>
      </c>
      <c r="H813" s="15"/>
    </row>
    <row r="814" spans="1:8" ht="15" customHeight="1" x14ac:dyDescent="0.15">
      <c r="A814" s="57"/>
      <c r="B814" s="72" t="s">
        <v>8</v>
      </c>
      <c r="C814" s="14" t="s">
        <v>2284</v>
      </c>
      <c r="D814" s="219"/>
      <c r="E814" s="14" t="s">
        <v>2285</v>
      </c>
      <c r="F814" s="219" t="str">
        <f>IF(wskakunin_sekou4__address="", "", wskakunin_sekou4__address)</f>
        <v/>
      </c>
      <c r="H814" s="15"/>
    </row>
    <row r="815" spans="1:8" ht="15" customHeight="1" x14ac:dyDescent="0.15">
      <c r="A815" s="57"/>
      <c r="B815" s="72" t="s">
        <v>7</v>
      </c>
      <c r="C815" s="14" t="s">
        <v>2286</v>
      </c>
      <c r="D815" s="221"/>
      <c r="E815" s="14" t="s">
        <v>2287</v>
      </c>
      <c r="F815" s="219" t="str">
        <f>IF(wskakunin_sekou4_TEL="", "", wskakunin_sekou4_TEL)</f>
        <v/>
      </c>
      <c r="H815" s="15"/>
    </row>
    <row r="816" spans="1:8" ht="15" customHeight="1" x14ac:dyDescent="0.15">
      <c r="A816" s="57"/>
      <c r="B816" s="72"/>
      <c r="D816" s="30"/>
      <c r="F816" s="15"/>
      <c r="H816" s="15"/>
    </row>
    <row r="817" spans="1:8" ht="15" customHeight="1" x14ac:dyDescent="0.15">
      <c r="A817" s="48" t="s">
        <v>2323</v>
      </c>
      <c r="B817" s="49"/>
      <c r="D817" s="30"/>
      <c r="F817" s="15"/>
      <c r="H817" s="15"/>
    </row>
    <row r="818" spans="1:8" ht="15" customHeight="1" x14ac:dyDescent="0.15">
      <c r="A818" s="57"/>
      <c r="B818" s="72" t="s">
        <v>92</v>
      </c>
      <c r="C818" s="14" t="s">
        <v>2288</v>
      </c>
      <c r="D818" s="219"/>
      <c r="E818" s="14" t="s">
        <v>2289</v>
      </c>
      <c r="F818" s="219" t="str">
        <f>IF(wskakunin_sekou5_NAME="", "", wskakunin_sekou5_NAME)</f>
        <v/>
      </c>
      <c r="H818" s="15"/>
    </row>
    <row r="819" spans="1:8" ht="15" customHeight="1" x14ac:dyDescent="0.15">
      <c r="A819" s="57"/>
      <c r="B819" s="72" t="s">
        <v>1529</v>
      </c>
      <c r="C819" s="14" t="s">
        <v>2290</v>
      </c>
      <c r="D819" s="219"/>
      <c r="E819" s="14" t="s">
        <v>2291</v>
      </c>
      <c r="F819" s="219" t="str">
        <f>IF(wskakunin_sekou5_SEKOU__sikaku="", "", wskakunin_sekou5_SEKOU__sikaku)</f>
        <v/>
      </c>
      <c r="H819" s="15"/>
    </row>
    <row r="820" spans="1:8" ht="15" customHeight="1" x14ac:dyDescent="0.15">
      <c r="A820" s="57"/>
      <c r="B820" s="72" t="s">
        <v>660</v>
      </c>
      <c r="C820" s="14" t="s">
        <v>2292</v>
      </c>
      <c r="D820" s="219"/>
      <c r="E820" s="14" t="s">
        <v>2293</v>
      </c>
      <c r="F820" s="219" t="str">
        <f>IF(wskakunin_sekou5_SEKOU_SIKAKU__label="", "",wskakunin_sekou5_SEKOU_SIKAKU__label)</f>
        <v/>
      </c>
      <c r="H820" s="15"/>
    </row>
    <row r="821" spans="1:8" ht="15" customHeight="1" x14ac:dyDescent="0.15">
      <c r="A821" s="57"/>
      <c r="B821" s="72" t="s">
        <v>741</v>
      </c>
      <c r="C821" s="14" t="s">
        <v>2294</v>
      </c>
      <c r="D821" s="221"/>
      <c r="E821" s="14" t="s">
        <v>2295</v>
      </c>
      <c r="F821" s="219" t="str">
        <f>IF(wskakunin_sekou5_SEKOU_NO="","",wskakunin_sekou5_SEKOU_NO)</f>
        <v/>
      </c>
      <c r="H821" s="15"/>
    </row>
    <row r="822" spans="1:8" ht="15" customHeight="1" x14ac:dyDescent="0.15">
      <c r="A822" s="57"/>
      <c r="B822" s="72" t="s">
        <v>104</v>
      </c>
      <c r="C822" s="14" t="s">
        <v>2296</v>
      </c>
      <c r="D822" s="219"/>
      <c r="E822" s="14" t="s">
        <v>2297</v>
      </c>
      <c r="F822" s="219" t="str">
        <f>IF(wskakunin_sekou5_JIMU_NAME="", "", wskakunin_sekou5_JIMU_NAME)</f>
        <v/>
      </c>
      <c r="H822" s="15"/>
    </row>
    <row r="823" spans="1:8" ht="15" customHeight="1" x14ac:dyDescent="0.15">
      <c r="A823" s="57"/>
      <c r="B823" s="72" t="s">
        <v>5</v>
      </c>
      <c r="C823" s="14" t="s">
        <v>2298</v>
      </c>
      <c r="D823" s="221"/>
      <c r="E823" s="14" t="s">
        <v>2299</v>
      </c>
      <c r="F823" s="219" t="str">
        <f>IF(wskakunin_sekou5_ZIP="", "", wskakunin_sekou5_ZIP)</f>
        <v/>
      </c>
      <c r="H823" s="15"/>
    </row>
    <row r="824" spans="1:8" ht="15" customHeight="1" x14ac:dyDescent="0.15">
      <c r="A824" s="57"/>
      <c r="B824" s="72" t="s">
        <v>8</v>
      </c>
      <c r="C824" s="14" t="s">
        <v>2300</v>
      </c>
      <c r="D824" s="219"/>
      <c r="E824" s="14" t="s">
        <v>2301</v>
      </c>
      <c r="F824" s="219" t="str">
        <f>IF(wskakunin_sekou5__address="", "", wskakunin_sekou5__address)</f>
        <v/>
      </c>
      <c r="H824" s="15"/>
    </row>
    <row r="825" spans="1:8" ht="15" customHeight="1" x14ac:dyDescent="0.15">
      <c r="A825" s="57"/>
      <c r="B825" s="72" t="s">
        <v>7</v>
      </c>
      <c r="C825" s="14" t="s">
        <v>2302</v>
      </c>
      <c r="D825" s="221"/>
      <c r="E825" s="14" t="s">
        <v>2303</v>
      </c>
      <c r="F825" s="219" t="str">
        <f>IF(wskakunin_sekou5_TEL="", "", wskakunin_sekou5_TEL)</f>
        <v/>
      </c>
      <c r="H825" s="15"/>
    </row>
    <row r="826" spans="1:8" ht="15" customHeight="1" x14ac:dyDescent="0.15">
      <c r="A826" s="57"/>
      <c r="B826" s="72"/>
      <c r="D826" s="30"/>
      <c r="F826" s="15"/>
      <c r="H826" s="15"/>
    </row>
    <row r="827" spans="1:8" ht="15" customHeight="1" x14ac:dyDescent="0.15">
      <c r="A827" s="48" t="s">
        <v>2324</v>
      </c>
      <c r="B827" s="49"/>
      <c r="D827" s="30"/>
      <c r="F827" s="15"/>
      <c r="H827" s="15"/>
    </row>
    <row r="828" spans="1:8" ht="15" customHeight="1" x14ac:dyDescent="0.15">
      <c r="A828" s="57"/>
      <c r="B828" s="72" t="s">
        <v>92</v>
      </c>
      <c r="C828" s="14" t="s">
        <v>2304</v>
      </c>
      <c r="D828" s="219"/>
      <c r="E828" s="14" t="s">
        <v>2305</v>
      </c>
      <c r="F828" s="219" t="str">
        <f>IF(wskakunin_sekou6_NAME="", "", wskakunin_sekou6_NAME)</f>
        <v/>
      </c>
      <c r="H828" s="15"/>
    </row>
    <row r="829" spans="1:8" ht="15" customHeight="1" x14ac:dyDescent="0.15">
      <c r="A829" s="57"/>
      <c r="B829" s="72" t="s">
        <v>1529</v>
      </c>
      <c r="C829" s="14" t="s">
        <v>2306</v>
      </c>
      <c r="D829" s="219"/>
      <c r="E829" s="14" t="s">
        <v>2307</v>
      </c>
      <c r="F829" s="219" t="str">
        <f>IF(wskakunin_sekou6_SEKOU__sikaku="", "", wskakunin_sekou6_SEKOU__sikaku)</f>
        <v/>
      </c>
      <c r="H829" s="15"/>
    </row>
    <row r="830" spans="1:8" ht="15" customHeight="1" x14ac:dyDescent="0.15">
      <c r="A830" s="57"/>
      <c r="B830" s="72" t="s">
        <v>660</v>
      </c>
      <c r="C830" s="14" t="s">
        <v>2308</v>
      </c>
      <c r="D830" s="219"/>
      <c r="E830" s="14" t="s">
        <v>2309</v>
      </c>
      <c r="F830" s="219" t="str">
        <f>IF(wskakunin_sekou6_SEKOU_SIKAKU__label="", "",wskakunin_sekou6_SEKOU_SIKAKU__label)</f>
        <v/>
      </c>
      <c r="H830" s="15"/>
    </row>
    <row r="831" spans="1:8" ht="15" customHeight="1" x14ac:dyDescent="0.15">
      <c r="A831" s="57"/>
      <c r="B831" s="72" t="s">
        <v>741</v>
      </c>
      <c r="C831" s="14" t="s">
        <v>2310</v>
      </c>
      <c r="D831" s="221"/>
      <c r="E831" s="14" t="s">
        <v>2311</v>
      </c>
      <c r="F831" s="219" t="str">
        <f>IF(wskakunin_sekou6_SEKOU_NO="","",wskakunin_sekou6_SEKOU_NO)</f>
        <v/>
      </c>
      <c r="H831" s="15"/>
    </row>
    <row r="832" spans="1:8" ht="15" customHeight="1" x14ac:dyDescent="0.15">
      <c r="A832" s="57"/>
      <c r="B832" s="72" t="s">
        <v>104</v>
      </c>
      <c r="C832" s="14" t="s">
        <v>2312</v>
      </c>
      <c r="D832" s="219"/>
      <c r="E832" s="14" t="s">
        <v>2313</v>
      </c>
      <c r="F832" s="219" t="str">
        <f>IF(wskakunin_sekou6_JIMU_NAME="", "", wskakunin_sekou6_JIMU_NAME)</f>
        <v/>
      </c>
      <c r="H832" s="15"/>
    </row>
    <row r="833" spans="1:8" ht="15" customHeight="1" x14ac:dyDescent="0.15">
      <c r="A833" s="57"/>
      <c r="B833" s="72" t="s">
        <v>5</v>
      </c>
      <c r="C833" s="14" t="s">
        <v>2314</v>
      </c>
      <c r="D833" s="221"/>
      <c r="E833" s="14" t="s">
        <v>2315</v>
      </c>
      <c r="F833" s="219" t="str">
        <f>IF(wskakunin_sekou6_ZIP="", "", wskakunin_sekou6_ZIP)</f>
        <v/>
      </c>
      <c r="H833" s="15"/>
    </row>
    <row r="834" spans="1:8" ht="15" customHeight="1" x14ac:dyDescent="0.15">
      <c r="A834" s="57"/>
      <c r="B834" s="72" t="s">
        <v>8</v>
      </c>
      <c r="C834" s="14" t="s">
        <v>2316</v>
      </c>
      <c r="D834" s="219"/>
      <c r="E834" s="14" t="s">
        <v>2317</v>
      </c>
      <c r="F834" s="219" t="str">
        <f>IF(wskakunin_sekou6__address="", "", wskakunin_sekou6__address)</f>
        <v/>
      </c>
      <c r="H834" s="15"/>
    </row>
    <row r="835" spans="1:8" ht="15" customHeight="1" x14ac:dyDescent="0.15">
      <c r="A835" s="57"/>
      <c r="B835" s="72" t="s">
        <v>7</v>
      </c>
      <c r="C835" s="14" t="s">
        <v>2318</v>
      </c>
      <c r="D835" s="221"/>
      <c r="E835" s="14" t="s">
        <v>2319</v>
      </c>
      <c r="F835" s="219" t="str">
        <f>IF(wskakunin_sekou6_TEL="", "", wskakunin_sekou6_TEL)</f>
        <v/>
      </c>
      <c r="H835" s="15"/>
    </row>
    <row r="836" spans="1:8" ht="15" customHeight="1" x14ac:dyDescent="0.15">
      <c r="A836" s="57"/>
      <c r="B836" s="72"/>
      <c r="D836" s="30"/>
      <c r="F836" s="15"/>
      <c r="G836" s="15"/>
      <c r="H836" s="15"/>
    </row>
    <row r="837" spans="1:8" ht="15" customHeight="1" x14ac:dyDescent="0.15">
      <c r="A837" s="60" t="s">
        <v>763</v>
      </c>
      <c r="B837" s="55"/>
      <c r="D837" s="30"/>
      <c r="F837" s="15"/>
      <c r="G837" s="15"/>
      <c r="H837" s="15"/>
    </row>
    <row r="838" spans="1:8" ht="15" customHeight="1" x14ac:dyDescent="0.15">
      <c r="A838" s="57"/>
      <c r="B838" s="50" t="s">
        <v>1017</v>
      </c>
      <c r="D838" s="15"/>
      <c r="E838" s="14" t="s">
        <v>1018</v>
      </c>
      <c r="F838" s="219" t="b">
        <f>IF(ISERROR(FIND("一建設", cst_wskakunin_sekou1_JIMU_NAME)), FALSE, FIND("一建設", cst_wskakunin_sekou1_JIMU_NAME)=1)</f>
        <v>0</v>
      </c>
      <c r="G838" s="15" t="s">
        <v>1019</v>
      </c>
    </row>
    <row r="839" spans="1:8" ht="15" customHeight="1" x14ac:dyDescent="0.15">
      <c r="A839" s="57"/>
      <c r="B839" s="51" t="s">
        <v>1020</v>
      </c>
      <c r="D839" s="15"/>
      <c r="E839" s="14" t="s">
        <v>1021</v>
      </c>
      <c r="F839" s="219">
        <f>IF(ISERROR(FIND("ケイアイスター不動産", cst_wskakunin_sekou1_JIMU_NAME)), 0, 1)</f>
        <v>0</v>
      </c>
      <c r="G839" s="15"/>
      <c r="H839" s="15"/>
    </row>
    <row r="840" spans="1:8" ht="15" customHeight="1" x14ac:dyDescent="0.15">
      <c r="A840" s="58"/>
      <c r="B840" s="52"/>
      <c r="D840" s="15"/>
      <c r="F840" s="15"/>
      <c r="G840" s="15"/>
      <c r="H840" s="15"/>
    </row>
    <row r="841" spans="1:8" ht="15" customHeight="1" x14ac:dyDescent="0.15">
      <c r="A841" s="42" t="s">
        <v>102</v>
      </c>
      <c r="B841" s="43"/>
      <c r="C841" s="14" t="s">
        <v>1022</v>
      </c>
      <c r="D841" s="141" t="s">
        <v>3443</v>
      </c>
      <c r="E841" s="14" t="s">
        <v>1023</v>
      </c>
      <c r="F841" s="141" t="str">
        <f>IF(wskakunin_BUILD_NAME="", "",wskakunin_BUILD_NAME)</f>
        <v>三木章史・恵様邸新築工事</v>
      </c>
      <c r="G841" s="15"/>
      <c r="H841" s="15"/>
    </row>
    <row r="842" spans="1:8" ht="15" customHeight="1" x14ac:dyDescent="0.15">
      <c r="A842" s="47"/>
      <c r="B842" s="59" t="s">
        <v>96</v>
      </c>
      <c r="C842" s="14" t="s">
        <v>2762</v>
      </c>
      <c r="D842" s="227" t="s">
        <v>3444</v>
      </c>
      <c r="E842" s="14" t="s">
        <v>2827</v>
      </c>
      <c r="F842" s="227" t="str">
        <f>IF(wskakunin_BUILD_NAME_KANA="","",wskakunin_BUILD_NAME_KANA)</f>
        <v>ﾐｷｱｷﾌﾐ・ﾒｸﾞﾐｻﾏﾃｲｼﾝﾁｸｺｳｼﾞ</v>
      </c>
      <c r="G842" s="15"/>
      <c r="H842" s="15"/>
    </row>
    <row r="843" spans="1:8" ht="15" customHeight="1" x14ac:dyDescent="0.15">
      <c r="A843" s="94" t="s">
        <v>2390</v>
      </c>
      <c r="B843" s="95"/>
      <c r="C843" s="14" t="s">
        <v>2391</v>
      </c>
      <c r="D843" s="141"/>
      <c r="E843" s="14" t="s">
        <v>2392</v>
      </c>
      <c r="F843" s="141" t="str">
        <f>IF(wskakunin_P2_BIKOU="","",wskakunin_P2_BIKOU)</f>
        <v/>
      </c>
    </row>
    <row r="844" spans="1:8" ht="15" customHeight="1" x14ac:dyDescent="0.15">
      <c r="A844" s="47"/>
      <c r="B844" s="59"/>
    </row>
    <row r="846" spans="1:8" ht="15" customHeight="1" x14ac:dyDescent="0.15">
      <c r="A846" s="44" t="s">
        <v>597</v>
      </c>
      <c r="B846" s="45"/>
      <c r="G846" s="15"/>
      <c r="H846" s="15"/>
    </row>
    <row r="847" spans="1:8" ht="15" customHeight="1" x14ac:dyDescent="0.15">
      <c r="A847" s="46"/>
      <c r="B847" s="70" t="s">
        <v>1024</v>
      </c>
      <c r="C847" s="14" t="s">
        <v>1025</v>
      </c>
      <c r="D847" s="141">
        <v>3</v>
      </c>
      <c r="G847" s="15"/>
      <c r="H847" s="15"/>
    </row>
    <row r="848" spans="1:8" ht="15" customHeight="1" x14ac:dyDescent="0.15">
      <c r="A848" s="46"/>
      <c r="B848" s="69" t="s">
        <v>1026</v>
      </c>
      <c r="E848" s="14" t="s">
        <v>1027</v>
      </c>
      <c r="F848" s="40" t="str">
        <f>IF(wskakunin_tekihan01_TEKIHAN_STATE=1,"■","□")</f>
        <v>□</v>
      </c>
      <c r="G848" s="15"/>
      <c r="H848" s="15"/>
    </row>
    <row r="849" spans="1:8" ht="15" customHeight="1" x14ac:dyDescent="0.15">
      <c r="A849" s="46"/>
      <c r="B849" s="69" t="s">
        <v>742</v>
      </c>
      <c r="E849" s="14" t="s">
        <v>751</v>
      </c>
      <c r="F849" s="40" t="str">
        <f>IF(wskakunin_tekihan01_TEKIHAN_STATE=2,"■","□")</f>
        <v>□</v>
      </c>
      <c r="G849" s="15"/>
      <c r="H849" s="15"/>
    </row>
    <row r="850" spans="1:8" ht="15" customHeight="1" x14ac:dyDescent="0.15">
      <c r="A850" s="46"/>
      <c r="B850" s="69" t="s">
        <v>743</v>
      </c>
      <c r="E850" s="14" t="s">
        <v>752</v>
      </c>
      <c r="F850" s="40" t="str">
        <f>IF(wskakunin_tekihan01_TEKIHAN_STATE=3,"■","□")</f>
        <v>■</v>
      </c>
      <c r="G850" s="15"/>
      <c r="H850" s="15"/>
    </row>
    <row r="851" spans="1:8" ht="15" customHeight="1" x14ac:dyDescent="0.15">
      <c r="A851" s="46"/>
      <c r="B851" s="70" t="s">
        <v>598</v>
      </c>
      <c r="C851" s="14" t="s">
        <v>1028</v>
      </c>
      <c r="D851" s="141"/>
      <c r="E851" s="14" t="s">
        <v>1029</v>
      </c>
      <c r="F851" s="40" t="str">
        <f>IF(wskakunin_tekihan01_TEKIHAN_KIKAN_NAME="","",wskakunin_tekihan01_TEKIHAN_KIKAN_NAME)</f>
        <v/>
      </c>
      <c r="G851" s="15"/>
      <c r="H851" s="15"/>
    </row>
    <row r="852" spans="1:8" ht="15" customHeight="1" x14ac:dyDescent="0.15">
      <c r="A852" s="46"/>
      <c r="B852" s="70" t="s">
        <v>599</v>
      </c>
      <c r="C852" s="14" t="s">
        <v>1030</v>
      </c>
      <c r="D852" s="141"/>
      <c r="E852" s="14" t="s">
        <v>1031</v>
      </c>
      <c r="F852" s="40" t="str">
        <f>IF(wskakunin_tekihan01_TEKIHAN_KIKAN_KEN__ken="","",wskakunin_tekihan01_TEKIHAN_KIKAN_KEN__ken)</f>
        <v/>
      </c>
      <c r="G852" s="15"/>
      <c r="H852" s="15"/>
    </row>
    <row r="853" spans="1:8" ht="15" customHeight="1" x14ac:dyDescent="0.15">
      <c r="A853" s="46"/>
      <c r="B853" s="70" t="s">
        <v>600</v>
      </c>
      <c r="C853" s="14" t="s">
        <v>1032</v>
      </c>
      <c r="D853" s="141"/>
      <c r="E853" s="14" t="s">
        <v>1033</v>
      </c>
      <c r="F853" s="40" t="str">
        <f>IF(wskakunin_tekihan01_TEKIHAN_KIKAN_ADDRESS="","",wskakunin_tekihan01_TEKIHAN_KIKAN_ADDRESS)</f>
        <v/>
      </c>
      <c r="G853" s="15"/>
      <c r="H853" s="15"/>
    </row>
    <row r="854" spans="1:8" ht="15" customHeight="1" x14ac:dyDescent="0.15">
      <c r="A854" s="46"/>
      <c r="B854" s="70" t="s">
        <v>753</v>
      </c>
      <c r="D854" s="141"/>
      <c r="E854" s="14" t="s">
        <v>1034</v>
      </c>
      <c r="F854" s="40" t="str">
        <f>cst_wskakunin_tekihan01_TEKIHAN_KIKAN_NAME&amp;IF(OR(cst_wskakunin_tekihan01_TEKIHAN_KIKAN_KEN__ken&lt;&gt;"",cst_wskakunin_tekihan01_TEKIHAN_KIKAN_ADDRESS&lt;&gt;""),"  ","")&amp;cst_wskakunin_tekihan01_TEKIHAN_KIKAN_KEN__ken&amp;cst_wskakunin_tekihan01_TEKIHAN_KIKAN_ADDRESS</f>
        <v/>
      </c>
      <c r="G854" s="15"/>
      <c r="H854" s="15"/>
    </row>
    <row r="855" spans="1:8" ht="15" customHeight="1" x14ac:dyDescent="0.15">
      <c r="A855" s="46"/>
      <c r="B855" s="70" t="s">
        <v>598</v>
      </c>
      <c r="C855" s="14" t="s">
        <v>1035</v>
      </c>
      <c r="D855" s="141"/>
      <c r="E855" s="14" t="s">
        <v>1036</v>
      </c>
      <c r="F855" s="40" t="str">
        <f>IF(wskakunin_tekihan02_TEKIHAN_KIKAN_NAME="","",wskakunin_tekihan02_TEKIHAN_KIKAN_NAME)</f>
        <v/>
      </c>
      <c r="G855" s="15"/>
      <c r="H855" s="15"/>
    </row>
    <row r="856" spans="1:8" ht="15" customHeight="1" x14ac:dyDescent="0.15">
      <c r="A856" s="46"/>
      <c r="B856" s="70" t="s">
        <v>599</v>
      </c>
      <c r="C856" s="14" t="s">
        <v>1037</v>
      </c>
      <c r="D856" s="141"/>
      <c r="E856" s="14" t="s">
        <v>1038</v>
      </c>
      <c r="F856" s="40" t="str">
        <f>IF(wskakunin_tekihan02_TEKIHAN_KIKAN_KEN__ken="","",wskakunin_tekihan02_TEKIHAN_KIKAN_KEN__ken)</f>
        <v/>
      </c>
      <c r="G856" s="15"/>
      <c r="H856" s="15"/>
    </row>
    <row r="857" spans="1:8" ht="15" customHeight="1" x14ac:dyDescent="0.15">
      <c r="A857" s="46"/>
      <c r="B857" s="70" t="s">
        <v>600</v>
      </c>
      <c r="C857" s="14" t="s">
        <v>1039</v>
      </c>
      <c r="D857" s="141"/>
      <c r="E857" s="14" t="s">
        <v>1040</v>
      </c>
      <c r="F857" s="40" t="str">
        <f>IF(wskakunin_tekihan02_TEKIHAN_KIKAN_ADDRESS="","",wskakunin_tekihan02_TEKIHAN_KIKAN_ADDRESS)</f>
        <v/>
      </c>
      <c r="G857" s="15"/>
      <c r="H857" s="15"/>
    </row>
    <row r="858" spans="1:8" ht="15" customHeight="1" x14ac:dyDescent="0.15">
      <c r="A858" s="46"/>
      <c r="B858" s="70" t="s">
        <v>753</v>
      </c>
      <c r="D858" s="141"/>
      <c r="E858" s="14" t="s">
        <v>1041</v>
      </c>
      <c r="F858" s="40" t="str">
        <f>cst_wskakunin_tekihan02_TEKIHAN_KIKAN_NAME&amp;IF(OR(cst_wskakunin_tekihan02_TEKIHAN_KIKAN_KEN__ken&lt;&gt;"",cst_wskakunin_tekihan02_TEKIHAN_KIKAN_ADDRESS&lt;&gt;""),"  ","")&amp;cst_wskakunin_tekihan02_TEKIHAN_KIKAN_KEN__ken&amp;cst_wskakunin_tekihan02_TEKIHAN_KIKAN_ADDRESS</f>
        <v/>
      </c>
      <c r="G858" s="15"/>
      <c r="H858" s="15"/>
    </row>
    <row r="859" spans="1:8" ht="15" customHeight="1" x14ac:dyDescent="0.15">
      <c r="A859" s="46"/>
      <c r="B859" s="71"/>
      <c r="G859" s="15"/>
      <c r="H859" s="15"/>
    </row>
    <row r="860" spans="1:8" ht="15" customHeight="1" x14ac:dyDescent="0.15">
      <c r="A860" s="44" t="s">
        <v>765</v>
      </c>
      <c r="B860" s="45"/>
      <c r="G860" s="15"/>
      <c r="H860" s="15"/>
    </row>
    <row r="861" spans="1:8" ht="15" customHeight="1" x14ac:dyDescent="0.15">
      <c r="A861" s="46"/>
      <c r="B861" s="69" t="s">
        <v>601</v>
      </c>
      <c r="C861" s="14" t="s">
        <v>1042</v>
      </c>
      <c r="D861" s="40">
        <v>3</v>
      </c>
      <c r="G861" s="15"/>
      <c r="H861" s="15"/>
    </row>
    <row r="862" spans="1:8" ht="15" customHeight="1" x14ac:dyDescent="0.15">
      <c r="A862" s="46"/>
      <c r="B862" s="69" t="s">
        <v>744</v>
      </c>
      <c r="E862" s="14" t="s">
        <v>1043</v>
      </c>
      <c r="F862" s="40" t="str">
        <f>IF(wskakunin_ecotekihan01_TEKIHAN_STATE=1,"■","□")</f>
        <v>□</v>
      </c>
      <c r="G862" s="15">
        <v>1</v>
      </c>
      <c r="H862" s="15"/>
    </row>
    <row r="863" spans="1:8" ht="15" customHeight="1" x14ac:dyDescent="0.15">
      <c r="A863" s="46"/>
      <c r="B863" s="69" t="s">
        <v>745</v>
      </c>
      <c r="E863" s="14" t="s">
        <v>1044</v>
      </c>
      <c r="F863" s="40" t="str">
        <f>IF(wskakunin_ecotekihan01_TEKIHAN_STATE=2,"■","□")</f>
        <v>□</v>
      </c>
      <c r="G863" s="15">
        <v>2</v>
      </c>
      <c r="H863" s="15"/>
    </row>
    <row r="864" spans="1:8" ht="15" customHeight="1" x14ac:dyDescent="0.15">
      <c r="A864" s="46"/>
      <c r="B864" s="69" t="s">
        <v>746</v>
      </c>
      <c r="E864" s="14" t="s">
        <v>1045</v>
      </c>
      <c r="F864" s="40" t="str">
        <f>IF(wskakunin_ecotekihan01_TEKIHAN_STATE=3,"■","□")</f>
        <v>■</v>
      </c>
      <c r="G864" s="15">
        <v>3</v>
      </c>
      <c r="H864" s="15"/>
    </row>
    <row r="865" spans="1:8" ht="15" customHeight="1" x14ac:dyDescent="0.15">
      <c r="A865" s="46"/>
      <c r="B865" s="70" t="s">
        <v>598</v>
      </c>
      <c r="C865" s="14" t="s">
        <v>1046</v>
      </c>
      <c r="D865" s="40"/>
      <c r="E865" s="14" t="s">
        <v>1047</v>
      </c>
      <c r="F865" s="40" t="str">
        <f>IF(wskakunin_ecotekihan01_TEKIHAN_KIKAN_NAME="","",wskakunin_ecotekihan01_TEKIHAN_KIKAN_NAME)</f>
        <v/>
      </c>
      <c r="G865" s="15"/>
      <c r="H865" s="15"/>
    </row>
    <row r="866" spans="1:8" ht="15" customHeight="1" x14ac:dyDescent="0.15">
      <c r="A866" s="46"/>
      <c r="B866" s="70" t="s">
        <v>599</v>
      </c>
      <c r="C866" s="14" t="s">
        <v>1048</v>
      </c>
      <c r="D866" s="40"/>
      <c r="E866" s="14" t="s">
        <v>1049</v>
      </c>
      <c r="F866" s="40" t="str">
        <f>IF(wskakunin_ecotekihan01_TEKIHAN_KIKAN_KEN__ken="","",wskakunin_ecotekihan01_TEKIHAN_KIKAN_KEN__ken)</f>
        <v/>
      </c>
      <c r="G866" s="15"/>
      <c r="H866" s="15"/>
    </row>
    <row r="867" spans="1:8" ht="15" customHeight="1" x14ac:dyDescent="0.15">
      <c r="A867" s="46"/>
      <c r="B867" s="70" t="s">
        <v>600</v>
      </c>
      <c r="C867" s="14" t="s">
        <v>1050</v>
      </c>
      <c r="D867" s="40"/>
      <c r="E867" s="14" t="s">
        <v>1051</v>
      </c>
      <c r="F867" s="40" t="str">
        <f>IF(wskakunin_ecotekihan01_TEKIHAN_KIKAN_ADDRESS="","",wskakunin_ecotekihan01_TEKIHAN_KIKAN_ADDRESS)</f>
        <v/>
      </c>
      <c r="G867" s="15"/>
      <c r="H867" s="15"/>
    </row>
    <row r="868" spans="1:8" ht="15" customHeight="1" x14ac:dyDescent="0.15">
      <c r="A868" s="46"/>
      <c r="B868" s="70"/>
      <c r="G868" s="15"/>
      <c r="H868" s="15"/>
    </row>
    <row r="869" spans="1:8" ht="15" customHeight="1" x14ac:dyDescent="0.15">
      <c r="A869" s="46"/>
      <c r="B869" s="70" t="s">
        <v>766</v>
      </c>
      <c r="E869" s="14" t="s">
        <v>1052</v>
      </c>
      <c r="F869" s="40"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69" s="15"/>
      <c r="H869" s="15"/>
    </row>
    <row r="870" spans="1:8" ht="15" customHeight="1" x14ac:dyDescent="0.15">
      <c r="A870" s="46"/>
      <c r="B870" s="70" t="s">
        <v>767</v>
      </c>
      <c r="E870" s="14" t="s">
        <v>1053</v>
      </c>
      <c r="F870" s="40"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0" s="15"/>
      <c r="H870" s="15"/>
    </row>
    <row r="871" spans="1:8" ht="15" customHeight="1" x14ac:dyDescent="0.15">
      <c r="A871" s="46"/>
      <c r="B871" s="70" t="s">
        <v>756</v>
      </c>
      <c r="C871" s="14" t="s">
        <v>1054</v>
      </c>
      <c r="D871" s="40"/>
      <c r="E871" s="14" t="s">
        <v>764</v>
      </c>
      <c r="F871" s="40" t="str">
        <f>IF(wskakunin_ecotekihan01_FUYOU_CAUSE="","",wskakunin_ecotekihan01_FUYOU_CAUSE)</f>
        <v/>
      </c>
      <c r="G871" s="15"/>
      <c r="H871" s="15"/>
    </row>
    <row r="872" spans="1:8" ht="15" customHeight="1" x14ac:dyDescent="0.15">
      <c r="A872" s="47"/>
      <c r="B872" s="71"/>
      <c r="G872" s="15"/>
      <c r="H872" s="15"/>
    </row>
    <row r="873" spans="1:8" ht="15" customHeight="1" x14ac:dyDescent="0.15">
      <c r="G873" s="15"/>
      <c r="H873" s="15"/>
    </row>
    <row r="874" spans="1:8" ht="15" customHeight="1" x14ac:dyDescent="0.15">
      <c r="A874" s="48" t="s">
        <v>103</v>
      </c>
      <c r="B874" s="107"/>
      <c r="G874" s="15"/>
      <c r="H874" s="15"/>
    </row>
    <row r="875" spans="1:8" ht="15" customHeight="1" x14ac:dyDescent="0.15">
      <c r="A875" s="191" t="s">
        <v>1325</v>
      </c>
      <c r="B875" s="72" t="s">
        <v>95</v>
      </c>
      <c r="C875" s="14" t="s">
        <v>1055</v>
      </c>
      <c r="D875" s="219" t="s">
        <v>112</v>
      </c>
      <c r="E875" s="14" t="s">
        <v>1056</v>
      </c>
      <c r="F875" s="219" t="str">
        <f>IF(wskakunin_p4_1_youto1_YOUTO="", "", wskakunin_p4_1_youto1_YOUTO)</f>
        <v>一戸建ての住宅</v>
      </c>
      <c r="G875" s="15"/>
      <c r="H875" s="15"/>
    </row>
    <row r="876" spans="1:8" ht="15" customHeight="1" x14ac:dyDescent="0.15">
      <c r="A876" s="108"/>
      <c r="B876" s="72" t="s">
        <v>1057</v>
      </c>
      <c r="C876" s="14" t="s">
        <v>1058</v>
      </c>
      <c r="D876" s="221" t="s">
        <v>204</v>
      </c>
      <c r="E876" s="14" t="s">
        <v>1059</v>
      </c>
      <c r="F876" s="219" t="str">
        <f>IF(wskakunin_p4_1_youto1_YOUTO_CODE="","",wskakunin_p4_1_youto1_YOUTO_CODE)</f>
        <v>08010</v>
      </c>
      <c r="G876" s="15"/>
      <c r="H876" s="15"/>
    </row>
    <row r="877" spans="1:8" ht="15" customHeight="1" x14ac:dyDescent="0.15">
      <c r="A877" s="108"/>
      <c r="B877" s="72" t="s">
        <v>30</v>
      </c>
      <c r="C877" s="101"/>
      <c r="D877" s="221"/>
      <c r="E877" s="14" t="s">
        <v>1060</v>
      </c>
      <c r="F877" s="219"/>
      <c r="G877" s="15"/>
      <c r="H877" s="15"/>
    </row>
    <row r="878" spans="1:8" ht="15" customHeight="1" x14ac:dyDescent="0.15">
      <c r="A878" s="108"/>
      <c r="B878" s="72" t="s">
        <v>1061</v>
      </c>
      <c r="C878" s="101"/>
      <c r="D878" s="221"/>
      <c r="E878" s="14" t="s">
        <v>1062</v>
      </c>
      <c r="F878" s="219"/>
      <c r="G878" s="15"/>
      <c r="H878" s="15"/>
    </row>
    <row r="879" spans="1:8" ht="15" customHeight="1" x14ac:dyDescent="0.15">
      <c r="A879" s="108"/>
      <c r="B879" s="72" t="s">
        <v>35</v>
      </c>
      <c r="C879" s="101"/>
      <c r="D879" s="221"/>
      <c r="E879" s="14" t="s">
        <v>1063</v>
      </c>
      <c r="F879" s="219"/>
      <c r="G879" s="15"/>
      <c r="H879" s="15"/>
    </row>
    <row r="880" spans="1:8" ht="15" customHeight="1" x14ac:dyDescent="0.15">
      <c r="A880" s="108"/>
      <c r="B880" s="72" t="s">
        <v>37</v>
      </c>
      <c r="C880" s="101"/>
      <c r="D880" s="221"/>
      <c r="E880" s="14" t="s">
        <v>1064</v>
      </c>
      <c r="F880" s="219"/>
      <c r="G880" s="15"/>
      <c r="H880" s="15"/>
    </row>
    <row r="881" spans="1:8" ht="15" customHeight="1" x14ac:dyDescent="0.15">
      <c r="A881" s="108"/>
      <c r="B881" s="72" t="s">
        <v>39</v>
      </c>
      <c r="C881" s="101"/>
      <c r="D881" s="221"/>
      <c r="E881" s="14" t="s">
        <v>1065</v>
      </c>
      <c r="F881" s="219"/>
      <c r="G881" s="15"/>
      <c r="H881" s="15"/>
    </row>
    <row r="882" spans="1:8" ht="15" customHeight="1" x14ac:dyDescent="0.15">
      <c r="A882" s="108"/>
      <c r="B882" s="72" t="s">
        <v>41</v>
      </c>
      <c r="C882" s="101"/>
      <c r="D882" s="221"/>
      <c r="E882" s="14" t="s">
        <v>1066</v>
      </c>
      <c r="F882" s="219"/>
      <c r="G882" s="15"/>
      <c r="H882" s="15"/>
    </row>
    <row r="883" spans="1:8" ht="15" customHeight="1" x14ac:dyDescent="0.15">
      <c r="A883" s="108"/>
      <c r="B883" s="72" t="s">
        <v>1</v>
      </c>
      <c r="C883" s="101"/>
      <c r="D883" s="221"/>
      <c r="E883" s="14" t="s">
        <v>1067</v>
      </c>
      <c r="F883" s="229" t="str">
        <f>IF(D876="08010","○","")</f>
        <v>○</v>
      </c>
      <c r="G883" s="15"/>
      <c r="H883" s="15"/>
    </row>
    <row r="884" spans="1:8" ht="15" customHeight="1" x14ac:dyDescent="0.15">
      <c r="A884" s="57"/>
      <c r="B884" s="72" t="s">
        <v>106</v>
      </c>
      <c r="C884" s="14" t="s">
        <v>1068</v>
      </c>
      <c r="D884" s="219" t="s">
        <v>113</v>
      </c>
      <c r="E884" s="14" t="s">
        <v>1069</v>
      </c>
      <c r="F884" s="219" t="str">
        <f>IF(wskakunin_p4_1__kouji="", "", wskakunin_p4_1__kouji)</f>
        <v>新築</v>
      </c>
      <c r="G884" s="15"/>
      <c r="H884" s="15"/>
    </row>
    <row r="885" spans="1:8" ht="15" customHeight="1" x14ac:dyDescent="0.15">
      <c r="A885" s="57"/>
      <c r="B885" s="72" t="s">
        <v>107</v>
      </c>
      <c r="C885" s="14" t="s">
        <v>1070</v>
      </c>
      <c r="D885" s="219">
        <v>1</v>
      </c>
      <c r="E885" s="14" t="s">
        <v>1071</v>
      </c>
      <c r="F885" s="219">
        <f>IF(wskakunin_p4_1_KAISU_TIKAI_NOZOKU="", "", wskakunin_p4_1_KAISU_TIKAI_NOZOKU)</f>
        <v>1</v>
      </c>
      <c r="G885" s="15"/>
      <c r="H885" s="15"/>
    </row>
    <row r="886" spans="1:8" ht="15" customHeight="1" x14ac:dyDescent="0.15">
      <c r="A886" s="57"/>
      <c r="B886" s="72" t="s">
        <v>108</v>
      </c>
      <c r="C886" s="14" t="s">
        <v>1072</v>
      </c>
      <c r="D886" s="219"/>
      <c r="E886" s="14" t="s">
        <v>1073</v>
      </c>
      <c r="F886" s="219" t="str">
        <f>IF(wskakunin_p4_1_KAISU_TIKAI="", "", wskakunin_p4_1_KAISU_TIKAI)</f>
        <v/>
      </c>
      <c r="G886" s="15"/>
      <c r="H886" s="15"/>
    </row>
    <row r="887" spans="1:8" ht="15" customHeight="1" x14ac:dyDescent="0.15">
      <c r="A887" s="57"/>
      <c r="B887" s="72" t="s">
        <v>80</v>
      </c>
      <c r="C887" s="14" t="s">
        <v>1074</v>
      </c>
      <c r="D887" s="219" t="s">
        <v>44</v>
      </c>
      <c r="E887" s="14" t="s">
        <v>1075</v>
      </c>
      <c r="F887" s="219" t="str">
        <f>IF(wskakunin_p4_1_KOUZOU1="", "", wskakunin_p4_1_KOUZOU1)</f>
        <v>木造</v>
      </c>
      <c r="G887" s="15"/>
      <c r="H887" s="15"/>
    </row>
    <row r="888" spans="1:8" ht="15" customHeight="1" x14ac:dyDescent="0.15">
      <c r="A888" s="57"/>
      <c r="B888" s="72" t="s">
        <v>109</v>
      </c>
      <c r="C888" s="14" t="s">
        <v>1076</v>
      </c>
      <c r="D888" s="219"/>
      <c r="E888" s="14" t="s">
        <v>1077</v>
      </c>
      <c r="F888" s="219" t="str">
        <f>IF(wskakunin_p4_1_KOUZOU2="", "", wskakunin_p4_1_KOUZOU2)</f>
        <v/>
      </c>
      <c r="G888" s="15"/>
      <c r="H888" s="15"/>
    </row>
    <row r="889" spans="1:8" ht="15" customHeight="1" x14ac:dyDescent="0.15">
      <c r="A889" s="57"/>
      <c r="B889" s="72" t="s">
        <v>110</v>
      </c>
      <c r="C889" s="14" t="s">
        <v>1078</v>
      </c>
      <c r="D889" s="228">
        <v>6.4809999999999999</v>
      </c>
      <c r="E889" s="14" t="s">
        <v>1079</v>
      </c>
      <c r="F889" s="219">
        <f>IF(wskakunin_p4_1_TAKASA_MAX="", "", wskakunin_p4_1_TAKASA_MAX)</f>
        <v>6.4809999999999999</v>
      </c>
      <c r="G889" s="15"/>
      <c r="H889" s="15"/>
    </row>
    <row r="890" spans="1:8" ht="15" customHeight="1" x14ac:dyDescent="0.15">
      <c r="A890" s="57"/>
      <c r="B890" s="72" t="s">
        <v>111</v>
      </c>
      <c r="C890" s="14" t="s">
        <v>1080</v>
      </c>
      <c r="D890" s="228">
        <v>3.5249999999999999</v>
      </c>
      <c r="E890" s="14" t="s">
        <v>1081</v>
      </c>
      <c r="F890" s="219">
        <f>IF(wskakunin_p4_1_TAKASA_KEN_MAX="", "", wskakunin_p4_1_TAKASA_KEN_MAX)</f>
        <v>3.5249999999999999</v>
      </c>
      <c r="G890" s="15"/>
      <c r="H890" s="15"/>
    </row>
    <row r="891" spans="1:8" ht="15" customHeight="1" x14ac:dyDescent="0.15">
      <c r="A891" s="57"/>
      <c r="B891" s="50" t="s">
        <v>2652</v>
      </c>
      <c r="C891" s="14" t="s">
        <v>2653</v>
      </c>
      <c r="D891" s="228">
        <v>117.59</v>
      </c>
      <c r="E891" s="14" t="s">
        <v>2654</v>
      </c>
      <c r="F891" s="219">
        <f>IF(wskakunin_p4_1_YUKA_MENSEKI_SHINSEI="","",wskakunin_p4_1_YUKA_MENSEKI_SHINSEI)</f>
        <v>117.59</v>
      </c>
      <c r="G891" s="15"/>
      <c r="H891" s="15"/>
    </row>
    <row r="892" spans="1:8" ht="15" customHeight="1" x14ac:dyDescent="0.15">
      <c r="A892" s="58"/>
      <c r="B892" s="110"/>
      <c r="D892" s="189"/>
      <c r="F892" s="15"/>
      <c r="G892" s="15"/>
      <c r="H892" s="15"/>
    </row>
    <row r="893" spans="1:8" ht="15" customHeight="1" x14ac:dyDescent="0.15">
      <c r="A893" s="190" t="s">
        <v>1332</v>
      </c>
      <c r="B893" s="72" t="s">
        <v>107</v>
      </c>
      <c r="C893" s="14" t="s">
        <v>2655</v>
      </c>
      <c r="D893" s="228"/>
      <c r="E893" s="14" t="s">
        <v>2661</v>
      </c>
      <c r="F893" s="219" t="str">
        <f>IF(wskakunin_p4_2_KAISU_TIKAI_NOZOKU="","",wskakunin_p4_2_KAISU_TIKAI_NOZOKU)</f>
        <v/>
      </c>
      <c r="G893" s="15"/>
      <c r="H893" s="15"/>
    </row>
    <row r="894" spans="1:8" ht="15" customHeight="1" x14ac:dyDescent="0.15">
      <c r="A894" s="57"/>
      <c r="B894" s="72" t="s">
        <v>108</v>
      </c>
      <c r="C894" s="14" t="s">
        <v>2657</v>
      </c>
      <c r="D894" s="228"/>
      <c r="E894" s="14" t="s">
        <v>2662</v>
      </c>
      <c r="F894" s="219" t="str">
        <f>IF(wskakunin_p4_2_KAISU_TIKAI="","",wskakunin_p4_2_KAISU_TIKAI)</f>
        <v/>
      </c>
      <c r="G894" s="15"/>
      <c r="H894" s="15"/>
    </row>
    <row r="895" spans="1:8" ht="15" customHeight="1" x14ac:dyDescent="0.15">
      <c r="A895" s="57"/>
      <c r="B895" s="50" t="s">
        <v>2652</v>
      </c>
      <c r="C895" s="14" t="s">
        <v>2658</v>
      </c>
      <c r="D895" s="228"/>
      <c r="E895" s="14" t="s">
        <v>2663</v>
      </c>
      <c r="F895" s="219" t="str">
        <f>IF(wskakunin_p4_2_YUKA_MENSEKI_SHINSEI="","",wskakunin_p4_2_YUKA_MENSEKI_SHINSEI)</f>
        <v/>
      </c>
      <c r="G895" s="15"/>
      <c r="H895" s="15"/>
    </row>
    <row r="896" spans="1:8" ht="15" customHeight="1" x14ac:dyDescent="0.15">
      <c r="A896" s="58"/>
      <c r="B896" s="110"/>
      <c r="D896" s="189"/>
      <c r="F896" s="15"/>
      <c r="G896" s="15"/>
      <c r="H896" s="15"/>
    </row>
    <row r="897" spans="1:8" ht="15" customHeight="1" x14ac:dyDescent="0.15">
      <c r="A897" s="190" t="s">
        <v>1336</v>
      </c>
      <c r="B897" s="72" t="s">
        <v>107</v>
      </c>
      <c r="C897" s="14" t="s">
        <v>2659</v>
      </c>
      <c r="D897" s="228"/>
      <c r="E897" s="14" t="s">
        <v>2664</v>
      </c>
      <c r="F897" s="219" t="str">
        <f>IF(wskakunin_p4_3_KAISU_TIKAI_NOZOKU="","",wskakunin_p4_3_KAISU_TIKAI_NOZOKU)</f>
        <v/>
      </c>
      <c r="G897" s="15"/>
      <c r="H897" s="15"/>
    </row>
    <row r="898" spans="1:8" ht="15" customHeight="1" x14ac:dyDescent="0.15">
      <c r="A898" s="57"/>
      <c r="B898" s="72" t="s">
        <v>108</v>
      </c>
      <c r="C898" s="14" t="s">
        <v>2656</v>
      </c>
      <c r="D898" s="228"/>
      <c r="E898" s="14" t="s">
        <v>2665</v>
      </c>
      <c r="F898" s="219" t="str">
        <f>IF(wskakunin_p4_3_KAISU_TIKAI="","",wskakunin_p4_3_KAISU_TIKAI)</f>
        <v/>
      </c>
      <c r="G898" s="15"/>
      <c r="H898" s="15"/>
    </row>
    <row r="899" spans="1:8" ht="15" customHeight="1" x14ac:dyDescent="0.15">
      <c r="A899" s="57"/>
      <c r="B899" s="50" t="s">
        <v>2652</v>
      </c>
      <c r="C899" s="14" t="s">
        <v>2660</v>
      </c>
      <c r="D899" s="228"/>
      <c r="E899" s="14" t="s">
        <v>2666</v>
      </c>
      <c r="F899" s="219" t="str">
        <f>IF(wskakunin_p4_3_YUKA_MENSEKI_SHINSEI="","",wskakunin_p4_3_YUKA_MENSEKI_SHINSEI)</f>
        <v/>
      </c>
      <c r="G899" s="15"/>
      <c r="H899" s="15"/>
    </row>
    <row r="900" spans="1:8" ht="15" customHeight="1" x14ac:dyDescent="0.15">
      <c r="A900" s="58"/>
      <c r="B900" s="110"/>
      <c r="D900" s="189"/>
      <c r="F900" s="15"/>
      <c r="G900" s="15"/>
      <c r="H900" s="15"/>
    </row>
    <row r="902" spans="1:8" ht="15" customHeight="1" x14ac:dyDescent="0.15">
      <c r="A902" s="54" t="s">
        <v>88</v>
      </c>
      <c r="B902" s="102"/>
      <c r="G902" s="15"/>
      <c r="H902" s="15"/>
    </row>
    <row r="903" spans="1:8" ht="15" customHeight="1" x14ac:dyDescent="0.15">
      <c r="A903" s="42" t="s">
        <v>1082</v>
      </c>
      <c r="B903" s="45"/>
      <c r="G903" s="15"/>
      <c r="H903" s="15"/>
    </row>
    <row r="904" spans="1:8" ht="15" customHeight="1" x14ac:dyDescent="0.15">
      <c r="A904" s="79"/>
      <c r="B904" s="73" t="s">
        <v>770</v>
      </c>
      <c r="C904" s="14" t="s">
        <v>1083</v>
      </c>
      <c r="D904" s="141" t="s">
        <v>3440</v>
      </c>
      <c r="E904" s="14" t="s">
        <v>1084</v>
      </c>
      <c r="F904" s="141" t="str">
        <f>IF(wskakunin_BUILD__address="", "", wskakunin_BUILD__address)</f>
        <v>香川県丸亀市飯山町下法軍寺字島田737番3</v>
      </c>
      <c r="G904" s="15"/>
      <c r="H904" s="15"/>
    </row>
    <row r="905" spans="1:8" ht="15" customHeight="1" x14ac:dyDescent="0.15">
      <c r="A905" s="79"/>
      <c r="B905" s="139" t="s">
        <v>1417</v>
      </c>
      <c r="C905" s="14" t="s">
        <v>1085</v>
      </c>
      <c r="D905" s="141" t="s">
        <v>3442</v>
      </c>
      <c r="E905" s="14" t="s">
        <v>1086</v>
      </c>
      <c r="F905" s="141" t="str">
        <f>IF(wskakunin_BUILD_KEN__ken="","",wskakunin_BUILD_KEN__ken)</f>
        <v>香川県</v>
      </c>
      <c r="G905" s="15"/>
      <c r="H905" s="15"/>
    </row>
    <row r="906" spans="1:8" ht="15" customHeight="1" x14ac:dyDescent="0.15">
      <c r="A906" s="79"/>
      <c r="B906" s="139" t="s">
        <v>1418</v>
      </c>
      <c r="C906" s="14" t="s">
        <v>1415</v>
      </c>
      <c r="D906" s="141" t="s">
        <v>3441</v>
      </c>
      <c r="E906" s="14" t="s">
        <v>1416</v>
      </c>
      <c r="F906" s="141" t="str">
        <f>IF(wskakunin_BUILD_ADDRESS="","",wskakunin_BUILD_ADDRESS)</f>
        <v>丸亀市飯山町下法軍寺字島田737番3</v>
      </c>
      <c r="G906" s="15"/>
      <c r="H906" s="15"/>
    </row>
    <row r="907" spans="1:8" ht="15" customHeight="1" x14ac:dyDescent="0.15">
      <c r="A907" s="80"/>
      <c r="B907" s="81"/>
      <c r="D907" s="15"/>
      <c r="F907" s="15"/>
      <c r="G907" s="15"/>
      <c r="H907" s="15"/>
    </row>
    <row r="908" spans="1:8" ht="15" customHeight="1" x14ac:dyDescent="0.15">
      <c r="A908" s="42" t="s">
        <v>573</v>
      </c>
      <c r="B908" s="45"/>
      <c r="G908" s="15"/>
      <c r="H908" s="15"/>
    </row>
    <row r="909" spans="1:8" ht="15" customHeight="1" x14ac:dyDescent="0.15">
      <c r="A909" s="79"/>
      <c r="B909" s="73" t="s">
        <v>6</v>
      </c>
      <c r="C909" s="14" t="s">
        <v>1419</v>
      </c>
      <c r="D909" s="40"/>
      <c r="E909" s="14" t="s">
        <v>1421</v>
      </c>
      <c r="F909" s="40" t="str">
        <f>IF(wskakunin_BUILD_JYUKYO__address="","",wskakunin_BUILD_JYUKYO__address)</f>
        <v/>
      </c>
      <c r="G909" s="15"/>
      <c r="H909" s="15"/>
    </row>
    <row r="910" spans="1:8" ht="15" customHeight="1" x14ac:dyDescent="0.15">
      <c r="A910" s="79"/>
      <c r="B910" s="139" t="s">
        <v>1417</v>
      </c>
      <c r="C910" s="14" t="s">
        <v>1420</v>
      </c>
      <c r="D910" s="40"/>
      <c r="E910" s="14" t="s">
        <v>1422</v>
      </c>
      <c r="F910" s="40" t="str">
        <f>IF(wskakunin_BUILD_JYUKYO_KEN__ken="","",wskakunin_BUILD_JYUKYO_KEN__ken)</f>
        <v/>
      </c>
      <c r="G910" s="15"/>
      <c r="H910" s="15"/>
    </row>
    <row r="911" spans="1:8" ht="15" customHeight="1" x14ac:dyDescent="0.15">
      <c r="A911" s="79"/>
      <c r="B911" s="139" t="s">
        <v>1418</v>
      </c>
      <c r="C911" s="14" t="s">
        <v>1087</v>
      </c>
      <c r="D911" s="141"/>
      <c r="E911" s="14" t="s">
        <v>1088</v>
      </c>
      <c r="F911" s="141" t="str">
        <f>IF(wskakunin_BUILD_JYUKYO_ADDRESS="","",wskakunin_BUILD_JYUKYO_ADDRESS)</f>
        <v/>
      </c>
      <c r="G911" s="15"/>
      <c r="H911" s="15"/>
    </row>
    <row r="912" spans="1:8" ht="15" customHeight="1" x14ac:dyDescent="0.15">
      <c r="A912" s="80"/>
      <c r="B912" s="81"/>
      <c r="D912" s="15"/>
      <c r="F912" s="15"/>
      <c r="G912" s="15"/>
      <c r="H912" s="15"/>
    </row>
    <row r="913" spans="1:8" ht="15" customHeight="1" x14ac:dyDescent="0.15">
      <c r="A913" s="1" t="s">
        <v>1089</v>
      </c>
      <c r="B913" s="45"/>
      <c r="G913" s="15"/>
      <c r="H913" s="15"/>
    </row>
    <row r="914" spans="1:8" ht="15" customHeight="1" x14ac:dyDescent="0.15">
      <c r="A914" s="7"/>
      <c r="B914" s="73" t="s">
        <v>422</v>
      </c>
      <c r="C914" s="14" t="s">
        <v>1090</v>
      </c>
      <c r="D914" s="141">
        <v>1</v>
      </c>
      <c r="E914" s="14" t="s">
        <v>1091</v>
      </c>
      <c r="F914" s="141" t="str">
        <f>IF(wskakunin_KUIKI_TOSI=1,"■","□")</f>
        <v>■</v>
      </c>
      <c r="H914" s="15"/>
    </row>
    <row r="915" spans="1:8" ht="15" customHeight="1" x14ac:dyDescent="0.15">
      <c r="A915" s="7"/>
      <c r="B915" s="73" t="s">
        <v>105</v>
      </c>
      <c r="C915" s="14" t="s">
        <v>1092</v>
      </c>
      <c r="D915" s="141" t="s">
        <v>422</v>
      </c>
      <c r="E915" s="14" t="s">
        <v>1093</v>
      </c>
      <c r="F915" s="141" t="str">
        <f>IF(wskakunin__kuiki="", "", wskakunin__kuiki)</f>
        <v>都市計画区域内</v>
      </c>
      <c r="G915" s="15"/>
      <c r="H915" s="15"/>
    </row>
    <row r="916" spans="1:8" ht="15" customHeight="1" x14ac:dyDescent="0.15">
      <c r="A916" s="7"/>
      <c r="B916" s="73"/>
      <c r="D916" s="15"/>
      <c r="E916" s="14" t="s">
        <v>2797</v>
      </c>
      <c r="F916" s="141" t="str">
        <f>IF(cst_wskakunin__kuiki="都市計画区域内","■","□")</f>
        <v>■</v>
      </c>
      <c r="G916" s="15"/>
      <c r="H916" s="15"/>
    </row>
    <row r="917" spans="1:8" ht="15" customHeight="1" x14ac:dyDescent="0.15">
      <c r="A917" s="7"/>
      <c r="B917" s="73" t="s">
        <v>426</v>
      </c>
      <c r="C917" s="14" t="s">
        <v>1094</v>
      </c>
      <c r="D917" s="141"/>
      <c r="E917" s="14" t="s">
        <v>1095</v>
      </c>
      <c r="F917" s="141" t="str">
        <f>IF(wskakunin_KUIKI_SIGAIKA=1,"■","□")</f>
        <v>□</v>
      </c>
      <c r="G917" s="15"/>
      <c r="H917" s="15"/>
    </row>
    <row r="918" spans="1:8" ht="15" customHeight="1" x14ac:dyDescent="0.15">
      <c r="A918" s="7"/>
      <c r="B918" s="73" t="s">
        <v>425</v>
      </c>
      <c r="C918" s="14" t="s">
        <v>1096</v>
      </c>
      <c r="D918" s="141" t="s">
        <v>428</v>
      </c>
      <c r="E918" s="14" t="s">
        <v>1097</v>
      </c>
      <c r="F918" s="141" t="str">
        <f>IF(wskakunin__tosi_kuiki="", "", wskakunin__tosi_kuiki)</f>
        <v>区域区分非設定</v>
      </c>
      <c r="G918" s="15"/>
      <c r="H918" s="15"/>
    </row>
    <row r="919" spans="1:8" ht="15" customHeight="1" x14ac:dyDescent="0.15">
      <c r="A919" s="7"/>
      <c r="B919" s="73" t="s">
        <v>427</v>
      </c>
      <c r="C919" s="14" t="s">
        <v>1098</v>
      </c>
      <c r="D919" s="141"/>
      <c r="E919" s="14" t="s">
        <v>1099</v>
      </c>
      <c r="F919" s="141" t="str">
        <f>IF(wskakunin_KUIKI_TYOSEI=1,"■","□")</f>
        <v>□</v>
      </c>
      <c r="H919" s="15"/>
    </row>
    <row r="920" spans="1:8" ht="15" customHeight="1" x14ac:dyDescent="0.15">
      <c r="A920" s="7"/>
      <c r="B920" s="73" t="s">
        <v>428</v>
      </c>
      <c r="C920" s="14" t="s">
        <v>1100</v>
      </c>
      <c r="D920" s="141">
        <v>1</v>
      </c>
      <c r="E920" s="14" t="s">
        <v>1101</v>
      </c>
      <c r="F920" s="141" t="str">
        <f>IF(wskakunin_KUIKI_HISETTEI=1,"■","□")</f>
        <v>■</v>
      </c>
      <c r="H920" s="15"/>
    </row>
    <row r="921" spans="1:8" ht="15" customHeight="1" x14ac:dyDescent="0.15">
      <c r="A921" s="7"/>
      <c r="B921" s="73" t="s">
        <v>423</v>
      </c>
      <c r="C921" s="14" t="s">
        <v>1102</v>
      </c>
      <c r="D921" s="141"/>
      <c r="E921" s="14" t="s">
        <v>1103</v>
      </c>
      <c r="F921" s="141" t="str">
        <f>IF(wskakunin_KUIKI_JYUN_TOSHI=1,"■","□")</f>
        <v>□</v>
      </c>
      <c r="H921" s="15"/>
    </row>
    <row r="922" spans="1:8" ht="15" customHeight="1" x14ac:dyDescent="0.15">
      <c r="A922" s="7"/>
      <c r="B922" s="70" t="s">
        <v>424</v>
      </c>
      <c r="C922" s="14" t="s">
        <v>1104</v>
      </c>
      <c r="D922" s="141"/>
      <c r="E922" s="14" t="s">
        <v>1105</v>
      </c>
      <c r="F922" s="141" t="str">
        <f>IF(wskakunin_KUIKI_KUIKIGAI=1,"■","□")</f>
        <v>□</v>
      </c>
      <c r="H922" s="15"/>
    </row>
    <row r="923" spans="1:8" ht="15" customHeight="1" x14ac:dyDescent="0.15">
      <c r="A923" s="8"/>
      <c r="B923" s="71"/>
      <c r="D923" s="15"/>
      <c r="F923" s="15"/>
      <c r="H923" s="15"/>
    </row>
    <row r="924" spans="1:8" ht="15" customHeight="1" x14ac:dyDescent="0.15">
      <c r="A924" s="1" t="s">
        <v>574</v>
      </c>
      <c r="B924" s="24"/>
      <c r="C924" s="14" t="s">
        <v>1106</v>
      </c>
      <c r="D924" s="141" t="s">
        <v>190</v>
      </c>
      <c r="E924" s="14" t="s">
        <v>1107</v>
      </c>
      <c r="F924" s="141" t="str">
        <f>IF(wskakunin__bouka="", "", wskakunin__bouka)</f>
        <v>指定なし</v>
      </c>
      <c r="H924" s="15"/>
    </row>
    <row r="925" spans="1:8" ht="15" customHeight="1" x14ac:dyDescent="0.15">
      <c r="A925" s="7"/>
      <c r="B925" s="67" t="s">
        <v>429</v>
      </c>
      <c r="C925" s="14" t="s">
        <v>1108</v>
      </c>
      <c r="D925" s="141"/>
      <c r="E925" s="14" t="s">
        <v>1109</v>
      </c>
      <c r="F925" s="141" t="str">
        <f>IF(wskakunin_BOUKA_BOUKA=1,"■","□")</f>
        <v>□</v>
      </c>
      <c r="H925" s="15"/>
    </row>
    <row r="926" spans="1:8" ht="15" customHeight="1" x14ac:dyDescent="0.15">
      <c r="A926" s="7"/>
      <c r="B926" s="67" t="s">
        <v>430</v>
      </c>
      <c r="C926" s="14" t="s">
        <v>1110</v>
      </c>
      <c r="D926" s="141"/>
      <c r="E926" s="14" t="s">
        <v>1111</v>
      </c>
      <c r="F926" s="141" t="str">
        <f>IF(wskakunin_BOUKA_JYUN_BOUKA=1,"■","□")</f>
        <v>□</v>
      </c>
      <c r="H926" s="15"/>
    </row>
    <row r="927" spans="1:8" ht="15" customHeight="1" x14ac:dyDescent="0.15">
      <c r="A927" s="7"/>
      <c r="B927" s="67" t="s">
        <v>190</v>
      </c>
      <c r="C927" s="14" t="s">
        <v>1112</v>
      </c>
      <c r="D927" s="141">
        <v>1</v>
      </c>
      <c r="E927" s="14" t="s">
        <v>1113</v>
      </c>
      <c r="F927" s="141" t="str">
        <f>IF(wskakunin_BOUKA_NASI=1,"■","□")</f>
        <v>■</v>
      </c>
      <c r="H927" s="15"/>
    </row>
    <row r="928" spans="1:8" ht="15" customHeight="1" x14ac:dyDescent="0.15">
      <c r="A928" s="7"/>
      <c r="B928" s="67" t="s">
        <v>431</v>
      </c>
      <c r="C928" s="14" t="s">
        <v>1114</v>
      </c>
      <c r="D928" s="141">
        <v>1</v>
      </c>
      <c r="E928" s="14" t="s">
        <v>1115</v>
      </c>
      <c r="F928" s="141" t="str">
        <f>IF(wskakunin_BOUKA_22JYO=1,"■","□")</f>
        <v>■</v>
      </c>
      <c r="H928" s="15"/>
    </row>
    <row r="929" spans="1:8" ht="15" customHeight="1" x14ac:dyDescent="0.15">
      <c r="A929" s="8"/>
      <c r="B929" s="68"/>
      <c r="D929" s="15"/>
      <c r="F929" s="15"/>
      <c r="H929" s="15"/>
    </row>
    <row r="930" spans="1:8" ht="15" customHeight="1" x14ac:dyDescent="0.15">
      <c r="A930" s="1" t="s">
        <v>575</v>
      </c>
      <c r="B930" s="24"/>
      <c r="C930" s="14" t="s">
        <v>1116</v>
      </c>
      <c r="D930" s="141"/>
      <c r="E930" s="14" t="s">
        <v>1117</v>
      </c>
      <c r="F930" s="141" t="str">
        <f>IF(wskakunin_SONOTA_KUIKI="","",wskakunin_SONOTA_KUIKI)</f>
        <v/>
      </c>
      <c r="H930" s="15"/>
    </row>
    <row r="931" spans="1:8" ht="15" customHeight="1" x14ac:dyDescent="0.15">
      <c r="A931" s="8"/>
      <c r="B931" s="59"/>
      <c r="H931" s="15"/>
    </row>
    <row r="932" spans="1:8" ht="15" customHeight="1" x14ac:dyDescent="0.15">
      <c r="A932" s="23" t="s">
        <v>576</v>
      </c>
      <c r="B932" s="23"/>
      <c r="D932" s="15"/>
      <c r="F932" s="15"/>
      <c r="H932" s="15"/>
    </row>
    <row r="933" spans="1:8" ht="15" customHeight="1" x14ac:dyDescent="0.15">
      <c r="A933" s="23"/>
      <c r="B933" s="67" t="s">
        <v>577</v>
      </c>
      <c r="C933" s="14" t="s">
        <v>1118</v>
      </c>
      <c r="D933" s="230">
        <v>4.0270000000000001</v>
      </c>
      <c r="E933" s="14" t="s">
        <v>1119</v>
      </c>
      <c r="F933" s="230">
        <f>IF(wskakunin_DOURO_FUKUIN="","",wskakunin_DOURO_FUKUIN)</f>
        <v>4.0270000000000001</v>
      </c>
      <c r="H933" s="15"/>
    </row>
    <row r="934" spans="1:8" ht="15" customHeight="1" x14ac:dyDescent="0.15">
      <c r="A934" s="23"/>
      <c r="B934" s="67" t="s">
        <v>578</v>
      </c>
      <c r="C934" s="14" t="s">
        <v>1120</v>
      </c>
      <c r="D934" s="230">
        <v>12.952999999999999</v>
      </c>
      <c r="E934" s="14" t="s">
        <v>1121</v>
      </c>
      <c r="F934" s="230">
        <f>IF(wskakunin_DOURO_NAGASA="","",wskakunin_DOURO_NAGASA)</f>
        <v>12.952999999999999</v>
      </c>
      <c r="H934" s="15"/>
    </row>
    <row r="935" spans="1:8" ht="15" customHeight="1" x14ac:dyDescent="0.15">
      <c r="A935" s="23"/>
      <c r="B935" s="68"/>
      <c r="D935" s="15"/>
      <c r="F935" s="15"/>
      <c r="H935" s="15"/>
    </row>
    <row r="936" spans="1:8" ht="15" customHeight="1" x14ac:dyDescent="0.15">
      <c r="A936" s="63" t="s">
        <v>579</v>
      </c>
      <c r="B936" s="64"/>
      <c r="D936" s="15"/>
      <c r="F936" s="15"/>
      <c r="H936" s="15"/>
    </row>
    <row r="937" spans="1:8" ht="15" customHeight="1" x14ac:dyDescent="0.15">
      <c r="A937" s="41" t="s">
        <v>768</v>
      </c>
      <c r="B937" s="65"/>
      <c r="D937" s="15"/>
      <c r="F937" s="15"/>
      <c r="H937" s="15"/>
    </row>
    <row r="938" spans="1:8" ht="15" customHeight="1" x14ac:dyDescent="0.15">
      <c r="A938" s="7"/>
      <c r="B938" s="67" t="s">
        <v>1122</v>
      </c>
      <c r="C938" s="14" t="s">
        <v>1123</v>
      </c>
      <c r="D938" s="231">
        <v>367</v>
      </c>
      <c r="E938" s="14" t="s">
        <v>1124</v>
      </c>
      <c r="F938" s="231">
        <f>IF(wskakunin_SHIKITI_MENSEKI_1A="","",wskakunin_SHIKITI_MENSEKI_1A)</f>
        <v>367</v>
      </c>
      <c r="H938" s="15"/>
    </row>
    <row r="939" spans="1:8" ht="15" customHeight="1" x14ac:dyDescent="0.15">
      <c r="A939" s="7"/>
      <c r="B939" s="67" t="s">
        <v>1125</v>
      </c>
      <c r="C939" s="14" t="s">
        <v>1126</v>
      </c>
      <c r="D939" s="231"/>
      <c r="E939" s="14" t="s">
        <v>1127</v>
      </c>
      <c r="F939" s="231" t="str">
        <f>IF(wskakunin_SHIKITI_MENSEKI_1B="","",wskakunin_SHIKITI_MENSEKI_1B)</f>
        <v/>
      </c>
      <c r="H939" s="15"/>
    </row>
    <row r="940" spans="1:8" ht="15" customHeight="1" x14ac:dyDescent="0.15">
      <c r="A940" s="7"/>
      <c r="B940" s="67" t="s">
        <v>1128</v>
      </c>
      <c r="C940" s="14" t="s">
        <v>1129</v>
      </c>
      <c r="D940" s="231"/>
      <c r="E940" s="14" t="s">
        <v>1130</v>
      </c>
      <c r="F940" s="231" t="str">
        <f>IF(wskakunin_SHIKITI_MENSEKI_1C="","",wskakunin_SHIKITI_MENSEKI_1C)</f>
        <v/>
      </c>
      <c r="H940" s="15"/>
    </row>
    <row r="941" spans="1:8" ht="15" customHeight="1" x14ac:dyDescent="0.15">
      <c r="A941" s="7"/>
      <c r="B941" s="67" t="s">
        <v>1131</v>
      </c>
      <c r="C941" s="14" t="s">
        <v>1132</v>
      </c>
      <c r="D941" s="231"/>
      <c r="E941" s="14" t="s">
        <v>1133</v>
      </c>
      <c r="F941" s="231" t="str">
        <f>IF(wskakunin_SHIKITI_MENSEKI_1D="","",wskakunin_SHIKITI_MENSEKI_1D)</f>
        <v/>
      </c>
      <c r="H941" s="15"/>
    </row>
    <row r="942" spans="1:8" ht="15" customHeight="1" x14ac:dyDescent="0.15">
      <c r="A942" s="7"/>
      <c r="B942" s="67" t="s">
        <v>1134</v>
      </c>
      <c r="C942" s="14" t="s">
        <v>1135</v>
      </c>
      <c r="D942" s="231"/>
      <c r="E942" s="14" t="s">
        <v>1136</v>
      </c>
      <c r="F942" s="231" t="str">
        <f>IF(wskakunin_SHIKITI_MENSEKI_2A="","",wskakunin_SHIKITI_MENSEKI_2A)</f>
        <v/>
      </c>
      <c r="H942" s="15"/>
    </row>
    <row r="943" spans="1:8" ht="15" customHeight="1" x14ac:dyDescent="0.15">
      <c r="A943" s="7"/>
      <c r="B943" s="67" t="s">
        <v>1137</v>
      </c>
      <c r="C943" s="14" t="s">
        <v>1138</v>
      </c>
      <c r="D943" s="231"/>
      <c r="E943" s="14" t="s">
        <v>1139</v>
      </c>
      <c r="F943" s="231" t="str">
        <f>IF(wskakunin_SHIKITI_MENSEKI_2B="","",wskakunin_SHIKITI_MENSEKI_2B)</f>
        <v/>
      </c>
      <c r="H943" s="15"/>
    </row>
    <row r="944" spans="1:8" ht="15" customHeight="1" x14ac:dyDescent="0.15">
      <c r="A944" s="7"/>
      <c r="B944" s="67" t="s">
        <v>1140</v>
      </c>
      <c r="C944" s="14" t="s">
        <v>1141</v>
      </c>
      <c r="D944" s="231"/>
      <c r="E944" s="14" t="s">
        <v>1142</v>
      </c>
      <c r="F944" s="231" t="str">
        <f>IF(wskakunin_SHIKITI_MENSEKI_2C="","",wskakunin_SHIKITI_MENSEKI_2C)</f>
        <v/>
      </c>
      <c r="H944" s="15"/>
    </row>
    <row r="945" spans="1:8" ht="15" customHeight="1" x14ac:dyDescent="0.15">
      <c r="A945" s="7"/>
      <c r="B945" s="39" t="s">
        <v>1143</v>
      </c>
      <c r="C945" s="14" t="s">
        <v>1144</v>
      </c>
      <c r="D945" s="231"/>
      <c r="E945" s="14" t="s">
        <v>1145</v>
      </c>
      <c r="F945" s="231" t="str">
        <f>IF(wskakunin_SHIKITI_MENSEKI_2D="","",wskakunin_SHIKITI_MENSEKI_2D)</f>
        <v/>
      </c>
      <c r="H945" s="15"/>
    </row>
    <row r="946" spans="1:8" ht="15" customHeight="1" x14ac:dyDescent="0.15">
      <c r="A946" s="41" t="s">
        <v>191</v>
      </c>
      <c r="B946" s="65"/>
      <c r="D946" s="15"/>
      <c r="F946" s="15"/>
      <c r="H946" s="15"/>
    </row>
    <row r="947" spans="1:8" ht="15" customHeight="1" x14ac:dyDescent="0.15">
      <c r="A947" s="7"/>
      <c r="B947" s="67" t="s">
        <v>1146</v>
      </c>
      <c r="C947" s="14" t="s">
        <v>1147</v>
      </c>
      <c r="D947" s="141" t="s">
        <v>180</v>
      </c>
      <c r="E947" s="14" t="s">
        <v>1148</v>
      </c>
      <c r="F947" s="141" t="str">
        <f>IF(wskakunin_YOUTO_TIIKI_A="", "", wskakunin_YOUTO_TIIKI_A)</f>
        <v>第一種中高層住居専用地域</v>
      </c>
      <c r="H947" s="15"/>
    </row>
    <row r="948" spans="1:8" ht="15" customHeight="1" x14ac:dyDescent="0.15">
      <c r="A948" s="7"/>
      <c r="B948" s="67" t="s">
        <v>1149</v>
      </c>
      <c r="C948" s="14" t="s">
        <v>1150</v>
      </c>
      <c r="D948" s="141"/>
      <c r="E948" s="14" t="s">
        <v>1151</v>
      </c>
      <c r="F948" s="141" t="str">
        <f>IF(wskakunin_YOUTO_TIIKI_B="","",wskakunin_YOUTO_TIIKI_B)</f>
        <v/>
      </c>
      <c r="H948" s="15"/>
    </row>
    <row r="949" spans="1:8" ht="15" customHeight="1" x14ac:dyDescent="0.15">
      <c r="A949" s="7"/>
      <c r="B949" s="67" t="s">
        <v>1152</v>
      </c>
      <c r="C949" s="14" t="s">
        <v>1153</v>
      </c>
      <c r="D949" s="141"/>
      <c r="E949" s="14" t="s">
        <v>1154</v>
      </c>
      <c r="F949" s="141" t="str">
        <f>IF(wskakunin_YOUTO_TIIKI_C="","",wskakunin_YOUTO_TIIKI_C)</f>
        <v/>
      </c>
      <c r="H949" s="15"/>
    </row>
    <row r="950" spans="1:8" ht="15" customHeight="1" x14ac:dyDescent="0.15">
      <c r="A950" s="66"/>
      <c r="B950" s="67" t="s">
        <v>1155</v>
      </c>
      <c r="C950" s="14" t="s">
        <v>1156</v>
      </c>
      <c r="D950" s="141"/>
      <c r="E950" s="14" t="s">
        <v>1157</v>
      </c>
      <c r="F950" s="141" t="str">
        <f>IF(wskakunin_YOUTO_TIIKI_D="","",wskakunin_YOUTO_TIIKI_D)</f>
        <v/>
      </c>
      <c r="G950" s="14" t="s">
        <v>595</v>
      </c>
      <c r="H950" s="15"/>
    </row>
    <row r="951" spans="1:8" ht="15" customHeight="1" x14ac:dyDescent="0.15">
      <c r="A951" s="41" t="s">
        <v>173</v>
      </c>
      <c r="B951" s="65"/>
      <c r="D951" s="15"/>
      <c r="F951" s="15"/>
      <c r="H951" s="15"/>
    </row>
    <row r="952" spans="1:8" ht="15" customHeight="1" x14ac:dyDescent="0.15">
      <c r="A952" s="7"/>
      <c r="B952" s="67" t="s">
        <v>1146</v>
      </c>
      <c r="C952" s="14" t="s">
        <v>1158</v>
      </c>
      <c r="D952" s="231">
        <v>200</v>
      </c>
      <c r="E952" s="103" t="s">
        <v>1159</v>
      </c>
      <c r="F952" s="231">
        <f>IF(wskakunin_YOUSEKI_RITU_A="","",wskakunin_YOUSEKI_RITU_A)</f>
        <v>200</v>
      </c>
      <c r="H952" s="15"/>
    </row>
    <row r="953" spans="1:8" ht="15" customHeight="1" x14ac:dyDescent="0.15">
      <c r="A953" s="7"/>
      <c r="B953" s="67" t="s">
        <v>1149</v>
      </c>
      <c r="C953" s="14" t="s">
        <v>1160</v>
      </c>
      <c r="D953" s="231"/>
      <c r="E953" s="103" t="s">
        <v>1161</v>
      </c>
      <c r="F953" s="231" t="str">
        <f>IF(wskakunin_YOUSEKI_RITU_B="","",wskakunin_YOUSEKI_RITU_B)</f>
        <v/>
      </c>
      <c r="H953" s="15"/>
    </row>
    <row r="954" spans="1:8" ht="15" customHeight="1" x14ac:dyDescent="0.15">
      <c r="A954" s="7"/>
      <c r="B954" s="67" t="s">
        <v>1152</v>
      </c>
      <c r="C954" s="14" t="s">
        <v>1162</v>
      </c>
      <c r="D954" s="231"/>
      <c r="E954" s="103" t="s">
        <v>1163</v>
      </c>
      <c r="F954" s="231" t="str">
        <f>IF(wskakunin_YOUSEKI_RITU_C="","",wskakunin_YOUSEKI_RITU_C)</f>
        <v/>
      </c>
      <c r="H954" s="15"/>
    </row>
    <row r="955" spans="1:8" ht="15" customHeight="1" x14ac:dyDescent="0.15">
      <c r="A955" s="66"/>
      <c r="B955" s="67" t="s">
        <v>1155</v>
      </c>
      <c r="C955" s="14" t="s">
        <v>1164</v>
      </c>
      <c r="D955" s="231"/>
      <c r="E955" s="103" t="s">
        <v>1165</v>
      </c>
      <c r="F955" s="231" t="str">
        <f>IF(wskakunin_YOUSEKI_RITU_D="","",wskakunin_YOUSEKI_RITU_D)</f>
        <v/>
      </c>
      <c r="H955" s="15"/>
    </row>
    <row r="956" spans="1:8" ht="15" customHeight="1" x14ac:dyDescent="0.15">
      <c r="A956" s="41" t="s">
        <v>580</v>
      </c>
      <c r="B956" s="65"/>
      <c r="D956" s="104"/>
      <c r="E956" s="103"/>
      <c r="F956" s="104"/>
      <c r="H956" s="15"/>
    </row>
    <row r="957" spans="1:8" ht="15" customHeight="1" x14ac:dyDescent="0.15">
      <c r="A957" s="7"/>
      <c r="B957" s="67" t="s">
        <v>1146</v>
      </c>
      <c r="C957" s="14" t="s">
        <v>1166</v>
      </c>
      <c r="D957" s="231">
        <v>60</v>
      </c>
      <c r="E957" s="103" t="s">
        <v>1167</v>
      </c>
      <c r="F957" s="231">
        <f>IF(wskakunin_KENPEI_RITU_A="","",wskakunin_KENPEI_RITU_A)</f>
        <v>60</v>
      </c>
      <c r="H957" s="15"/>
    </row>
    <row r="958" spans="1:8" ht="15" customHeight="1" x14ac:dyDescent="0.15">
      <c r="A958" s="7"/>
      <c r="B958" s="67" t="s">
        <v>1149</v>
      </c>
      <c r="C958" s="14" t="s">
        <v>1168</v>
      </c>
      <c r="D958" s="231"/>
      <c r="E958" s="103" t="s">
        <v>1169</v>
      </c>
      <c r="F958" s="231" t="str">
        <f>IF(wskakunin_KENPEI_RITU_B="","",wskakunin_KENPEI_RITU_B)</f>
        <v/>
      </c>
    </row>
    <row r="959" spans="1:8" ht="15" customHeight="1" x14ac:dyDescent="0.15">
      <c r="A959" s="7"/>
      <c r="B959" s="67" t="s">
        <v>1152</v>
      </c>
      <c r="C959" s="14" t="s">
        <v>1170</v>
      </c>
      <c r="D959" s="231"/>
      <c r="E959" s="103" t="s">
        <v>1171</v>
      </c>
      <c r="F959" s="231" t="str">
        <f>IF(wskakunin_KENPEI_RITU_C="","",wskakunin_KENPEI_RITU_C)</f>
        <v/>
      </c>
    </row>
    <row r="960" spans="1:8" ht="15" customHeight="1" x14ac:dyDescent="0.15">
      <c r="A960" s="66"/>
      <c r="B960" s="67" t="s">
        <v>1155</v>
      </c>
      <c r="C960" s="14" t="s">
        <v>1172</v>
      </c>
      <c r="D960" s="231"/>
      <c r="E960" s="103" t="s">
        <v>1173</v>
      </c>
      <c r="F960" s="231" t="str">
        <f>IF(wskakunin_KENPEI_RITU_D="","",wskakunin_KENPEI_RITU_D)</f>
        <v/>
      </c>
    </row>
    <row r="961" spans="1:6" ht="15" customHeight="1" x14ac:dyDescent="0.15">
      <c r="A961" s="7" t="s">
        <v>769</v>
      </c>
      <c r="B961" s="25"/>
      <c r="D961" s="104"/>
      <c r="E961" s="103"/>
      <c r="F961" s="104"/>
    </row>
    <row r="962" spans="1:6" ht="15" customHeight="1" x14ac:dyDescent="0.15">
      <c r="A962" s="7"/>
      <c r="B962" s="67" t="s">
        <v>1174</v>
      </c>
      <c r="C962" s="14" t="s">
        <v>1175</v>
      </c>
      <c r="D962" s="231">
        <v>367</v>
      </c>
      <c r="E962" s="14" t="s">
        <v>1176</v>
      </c>
      <c r="F962" s="141">
        <f>IF(wskakunin_SHIKITI_MENSEKI_1_TOTAL="", "", wskakunin_SHIKITI_MENSEKI_1_TOTAL)</f>
        <v>367</v>
      </c>
    </row>
    <row r="963" spans="1:6" ht="15" customHeight="1" x14ac:dyDescent="0.15">
      <c r="A963" s="7"/>
      <c r="B963" s="67" t="s">
        <v>1177</v>
      </c>
      <c r="C963" s="14" t="s">
        <v>1178</v>
      </c>
      <c r="D963" s="231"/>
      <c r="E963" s="103" t="s">
        <v>1179</v>
      </c>
      <c r="F963" s="231" t="str">
        <f>IF(wskakunin_SHIKITI_MENSEKI_2_TOTAL="","",wskakunin_SHIKITI_MENSEKI_2_TOTAL)</f>
        <v/>
      </c>
    </row>
    <row r="964" spans="1:6" ht="15" customHeight="1" x14ac:dyDescent="0.15">
      <c r="A964" s="7"/>
      <c r="B964" s="78" t="s">
        <v>1180</v>
      </c>
      <c r="C964" s="14" t="s">
        <v>1181</v>
      </c>
      <c r="D964" s="231">
        <v>200</v>
      </c>
      <c r="E964" s="103" t="s">
        <v>1182</v>
      </c>
      <c r="F964" s="231">
        <f>IF(wskakunin_LIMIT_YOUSEKI_RITU="","",wskakunin_LIMIT_YOUSEKI_RITU)</f>
        <v>200</v>
      </c>
    </row>
    <row r="965" spans="1:6" ht="15" customHeight="1" x14ac:dyDescent="0.15">
      <c r="A965" s="7"/>
      <c r="B965" s="78" t="s">
        <v>1183</v>
      </c>
      <c r="C965" s="14" t="s">
        <v>1184</v>
      </c>
      <c r="D965" s="231">
        <v>60</v>
      </c>
      <c r="E965" s="103" t="s">
        <v>1185</v>
      </c>
      <c r="F965" s="231">
        <f>IF(wskakunin_LIMIT_KENPEI_RITU="","",wskakunin_LIMIT_KENPEI_RITU)</f>
        <v>60</v>
      </c>
    </row>
    <row r="966" spans="1:6" ht="15" customHeight="1" x14ac:dyDescent="0.15">
      <c r="A966" s="8"/>
      <c r="B966" s="68" t="s">
        <v>460</v>
      </c>
      <c r="C966" s="14" t="s">
        <v>1186</v>
      </c>
      <c r="D966" s="141"/>
      <c r="E966" s="14" t="s">
        <v>1187</v>
      </c>
      <c r="F966" s="141" t="str">
        <f>IF(wskakunin_SHIKITI_MENSEKI_BIKOU="","",wskakunin_SHIKITI_MENSEKI_BIKOU)</f>
        <v/>
      </c>
    </row>
    <row r="967" spans="1:6" ht="15" customHeight="1" x14ac:dyDescent="0.15">
      <c r="A967" s="42" t="s">
        <v>581</v>
      </c>
      <c r="B967" s="43"/>
      <c r="D967" s="15"/>
      <c r="F967" s="15"/>
    </row>
    <row r="968" spans="1:6" ht="15" customHeight="1" x14ac:dyDescent="0.15">
      <c r="A968" s="79"/>
      <c r="B968" s="73" t="s">
        <v>1188</v>
      </c>
      <c r="C968" s="14" t="s">
        <v>1189</v>
      </c>
      <c r="D968" s="213" t="s">
        <v>204</v>
      </c>
      <c r="E968" s="14" t="s">
        <v>1190</v>
      </c>
      <c r="F968" s="213" t="str">
        <f>IF(wskakunin_YOUTO_CODE="","",wskakunin_YOUTO_CODE)</f>
        <v>08010</v>
      </c>
    </row>
    <row r="969" spans="1:6" ht="15" customHeight="1" x14ac:dyDescent="0.15">
      <c r="A969" s="79"/>
      <c r="B969" s="73" t="s">
        <v>95</v>
      </c>
      <c r="C969" s="14" t="s">
        <v>1191</v>
      </c>
      <c r="D969" s="141" t="s">
        <v>112</v>
      </c>
      <c r="E969" s="14" t="s">
        <v>1192</v>
      </c>
      <c r="F969" s="141" t="str">
        <f>IF(wskakunin_YOUTO="", "", wskakunin_YOUTO)</f>
        <v>一戸建ての住宅</v>
      </c>
    </row>
    <row r="970" spans="1:6" ht="15" customHeight="1" x14ac:dyDescent="0.15">
      <c r="A970" s="80"/>
      <c r="B970" s="81" t="s">
        <v>2766</v>
      </c>
      <c r="C970" s="14" t="s">
        <v>2767</v>
      </c>
      <c r="D970" s="141"/>
      <c r="E970" s="14" t="s">
        <v>2768</v>
      </c>
      <c r="F970" s="141" t="str">
        <f>IF(shinsei_UNIT_COUNT="","",shinsei_UNIT_COUNT)</f>
        <v/>
      </c>
    </row>
    <row r="971" spans="1:6" ht="15" customHeight="1" x14ac:dyDescent="0.15">
      <c r="A971" s="1" t="s">
        <v>582</v>
      </c>
      <c r="B971" s="64"/>
      <c r="D971" s="15"/>
      <c r="F971" s="15"/>
    </row>
    <row r="972" spans="1:6" ht="15" customHeight="1" x14ac:dyDescent="0.15">
      <c r="A972" s="66"/>
      <c r="B972" s="67" t="s">
        <v>2387</v>
      </c>
      <c r="C972" s="14" t="s">
        <v>1193</v>
      </c>
      <c r="D972" s="141" t="s">
        <v>113</v>
      </c>
      <c r="E972" s="14" t="s">
        <v>1194</v>
      </c>
      <c r="F972" s="141" t="str">
        <f>IF(wskakunin__kouji="", "", wskakunin__kouji)</f>
        <v>新築</v>
      </c>
    </row>
    <row r="973" spans="1:6" ht="15" customHeight="1" x14ac:dyDescent="0.15">
      <c r="A973" s="7"/>
      <c r="B973" s="67" t="s">
        <v>113</v>
      </c>
      <c r="C973" s="14" t="s">
        <v>1195</v>
      </c>
      <c r="D973" s="141">
        <v>1</v>
      </c>
      <c r="E973" s="14" t="s">
        <v>2400</v>
      </c>
      <c r="F973" s="141" t="str">
        <f>IF(wskakunin_KOUJI_SINTIKU=1,"■","□")</f>
        <v>■</v>
      </c>
    </row>
    <row r="974" spans="1:6" ht="15" customHeight="1" x14ac:dyDescent="0.15">
      <c r="A974" s="7"/>
      <c r="B974" s="67" t="s">
        <v>432</v>
      </c>
      <c r="C974" s="14" t="s">
        <v>1196</v>
      </c>
      <c r="D974" s="141"/>
      <c r="E974" s="14" t="s">
        <v>2401</v>
      </c>
      <c r="F974" s="141" t="str">
        <f>IF(wskakunin_KOUJI_ZOUTIKU=1,"■","□")</f>
        <v>□</v>
      </c>
    </row>
    <row r="975" spans="1:6" ht="15" customHeight="1" x14ac:dyDescent="0.15">
      <c r="A975" s="7"/>
      <c r="B975" s="67" t="s">
        <v>433</v>
      </c>
      <c r="C975" s="14" t="s">
        <v>1197</v>
      </c>
      <c r="D975" s="141"/>
      <c r="E975" s="14" t="s">
        <v>2402</v>
      </c>
      <c r="F975" s="141" t="str">
        <f>IF(wskakunin_KOUJI_KAITIKU=1,"■","□")</f>
        <v>□</v>
      </c>
    </row>
    <row r="976" spans="1:6" ht="15" customHeight="1" x14ac:dyDescent="0.15">
      <c r="A976" s="7"/>
      <c r="B976" s="67" t="s">
        <v>434</v>
      </c>
      <c r="C976" s="14" t="s">
        <v>1198</v>
      </c>
      <c r="D976" s="141"/>
      <c r="E976" s="14" t="s">
        <v>2403</v>
      </c>
      <c r="F976" s="141" t="str">
        <f>IF(wskakunin_KOUJI_ITEN=1,"■","□")</f>
        <v>□</v>
      </c>
    </row>
    <row r="977" spans="1:7" ht="15" customHeight="1" x14ac:dyDescent="0.15">
      <c r="A977" s="7"/>
      <c r="B977" s="67" t="s">
        <v>583</v>
      </c>
      <c r="C977" s="14" t="s">
        <v>1199</v>
      </c>
      <c r="D977" s="141"/>
      <c r="E977" s="14" t="s">
        <v>2404</v>
      </c>
      <c r="F977" s="141" t="str">
        <f>IF(wskakunin_KOUJI_YOUTOHENKOU=1,"■","□")</f>
        <v>□</v>
      </c>
      <c r="G977" s="14" t="s">
        <v>2389</v>
      </c>
    </row>
    <row r="978" spans="1:7" ht="15" customHeight="1" x14ac:dyDescent="0.15">
      <c r="A978" s="7"/>
      <c r="B978" s="67" t="s">
        <v>1200</v>
      </c>
      <c r="C978" s="14" t="s">
        <v>1201</v>
      </c>
      <c r="D978" s="141"/>
      <c r="E978" s="14" t="s">
        <v>2405</v>
      </c>
      <c r="F978" s="141" t="str">
        <f>IF(wskakunin_KOUJI_DAI_SYUUZEN=1,"■","□")</f>
        <v>□</v>
      </c>
    </row>
    <row r="979" spans="1:7" ht="15" customHeight="1" x14ac:dyDescent="0.15">
      <c r="A979" s="7"/>
      <c r="B979" s="67" t="s">
        <v>1202</v>
      </c>
      <c r="C979" s="14" t="s">
        <v>1203</v>
      </c>
      <c r="D979" s="141"/>
      <c r="E979" s="14" t="s">
        <v>2406</v>
      </c>
      <c r="F979" s="141" t="str">
        <f>IF(wskakunin_KOUJI_DAI_MOYOUGAE=1,"■","□")</f>
        <v>□</v>
      </c>
    </row>
    <row r="980" spans="1:7" ht="15" customHeight="1" x14ac:dyDescent="0.15">
      <c r="A980" s="7"/>
      <c r="B980" s="67" t="s">
        <v>1204</v>
      </c>
      <c r="C980" s="14" t="s">
        <v>1205</v>
      </c>
      <c r="D980" s="141"/>
      <c r="E980" s="14" t="s">
        <v>2807</v>
      </c>
      <c r="F980" s="141" t="str">
        <f>IF(wskakuninKOUJI_SETUBI=1,"■","□")</f>
        <v>□</v>
      </c>
      <c r="G980" s="14" t="s">
        <v>2388</v>
      </c>
    </row>
    <row r="981" spans="1:7" ht="15" customHeight="1" x14ac:dyDescent="0.15">
      <c r="A981" s="66"/>
      <c r="B981" s="67"/>
    </row>
    <row r="982" spans="1:7" ht="15" customHeight="1" x14ac:dyDescent="0.15">
      <c r="A982" s="7" t="s">
        <v>2576</v>
      </c>
      <c r="B982" s="25"/>
      <c r="E982" s="142"/>
      <c r="F982" s="142"/>
    </row>
    <row r="983" spans="1:7" ht="15" customHeight="1" x14ac:dyDescent="0.15">
      <c r="A983" s="7"/>
      <c r="B983" s="39" t="s">
        <v>2575</v>
      </c>
      <c r="C983" s="14" t="s">
        <v>2577</v>
      </c>
      <c r="D983" s="141"/>
      <c r="E983" s="14" t="s">
        <v>2581</v>
      </c>
      <c r="F983" s="141" t="str">
        <f>IF(wskakunin_gaiyou1_WORK_SYURUI_CODE="","",wskakunin_gaiyou1_WORK_SYURUI_CODE)</f>
        <v/>
      </c>
    </row>
    <row r="984" spans="1:7" ht="15" customHeight="1" x14ac:dyDescent="0.15">
      <c r="A984" s="7"/>
      <c r="B984" s="39" t="s">
        <v>2585</v>
      </c>
      <c r="C984" s="14" t="s">
        <v>2578</v>
      </c>
      <c r="D984" s="141"/>
      <c r="E984" s="14" t="s">
        <v>2582</v>
      </c>
      <c r="F984" s="141" t="str">
        <f>IF(wskakunin_gaiyou1_WORK_SYURUI="","",wskakunin_gaiyou1_WORK_SYURUI)</f>
        <v/>
      </c>
    </row>
    <row r="985" spans="1:7" ht="15" customHeight="1" x14ac:dyDescent="0.15">
      <c r="A985" s="7"/>
      <c r="B985" s="39" t="s">
        <v>2586</v>
      </c>
      <c r="C985" s="14" t="s">
        <v>2579</v>
      </c>
      <c r="D985" s="141"/>
      <c r="E985" s="14" t="s">
        <v>2583</v>
      </c>
      <c r="F985" s="141" t="str">
        <f>IF(wskakunin_gaiyou1_TAKASA="","",wskakunin_gaiyou1_TAKASA)</f>
        <v/>
      </c>
    </row>
    <row r="986" spans="1:7" ht="15" customHeight="1" x14ac:dyDescent="0.15">
      <c r="A986" s="7"/>
      <c r="B986" s="39" t="s">
        <v>80</v>
      </c>
      <c r="C986" s="14" t="s">
        <v>2580</v>
      </c>
      <c r="D986" s="141"/>
      <c r="E986" s="14" t="s">
        <v>2584</v>
      </c>
      <c r="F986" s="141" t="str">
        <f>IF(wskakunin_gaiyou1_KOUZOU="","",wskakunin_gaiyou1_KOUZOU)</f>
        <v/>
      </c>
    </row>
    <row r="987" spans="1:7" ht="15" customHeight="1" x14ac:dyDescent="0.15">
      <c r="A987" s="7"/>
      <c r="B987" s="70" t="s">
        <v>2732</v>
      </c>
      <c r="C987" s="14" t="s">
        <v>2733</v>
      </c>
      <c r="D987" s="40"/>
      <c r="E987" s="14" t="s">
        <v>2734</v>
      </c>
      <c r="F987" s="40" t="str">
        <f>IF(wskakunin_gaiyou1_KOUJI_SINTIKU=1,"■","□")</f>
        <v>□</v>
      </c>
    </row>
    <row r="988" spans="1:7" ht="15" customHeight="1" x14ac:dyDescent="0.15">
      <c r="A988" s="7"/>
      <c r="B988" s="70" t="s">
        <v>2735</v>
      </c>
      <c r="C988" s="14" t="s">
        <v>2736</v>
      </c>
      <c r="D988" s="40"/>
      <c r="E988" s="14" t="s">
        <v>2737</v>
      </c>
      <c r="F988" s="40" t="str">
        <f>IF(wskakunin_gaiyou1_KOUJI_ZOUTIKU=1,"■","□")</f>
        <v>□</v>
      </c>
    </row>
    <row r="989" spans="1:7" ht="15" customHeight="1" x14ac:dyDescent="0.15">
      <c r="A989" s="7"/>
      <c r="B989" s="70" t="s">
        <v>2738</v>
      </c>
      <c r="C989" s="14" t="s">
        <v>2739</v>
      </c>
      <c r="D989" s="40"/>
      <c r="E989" s="14" t="s">
        <v>2740</v>
      </c>
      <c r="F989" s="40" t="str">
        <f>IF(wskakunin_gaiyou1_KOUJI_KAITIKU=1,"■","□")</f>
        <v>□</v>
      </c>
    </row>
    <row r="990" spans="1:7" ht="15" customHeight="1" x14ac:dyDescent="0.15">
      <c r="A990" s="7"/>
      <c r="B990" s="70" t="s">
        <v>2741</v>
      </c>
      <c r="C990" s="14" t="s">
        <v>2742</v>
      </c>
      <c r="D990" s="40"/>
      <c r="E990" s="14" t="s">
        <v>2743</v>
      </c>
      <c r="F990" s="40" t="str">
        <f>IF(wskakunin_gaiyou1_KOUJI_SONOTA=1,"■","□")</f>
        <v>□</v>
      </c>
    </row>
    <row r="991" spans="1:7" ht="15" customHeight="1" x14ac:dyDescent="0.15">
      <c r="A991" s="7"/>
      <c r="B991" s="70" t="s">
        <v>2744</v>
      </c>
      <c r="C991" s="14" t="s">
        <v>2745</v>
      </c>
      <c r="D991" s="40"/>
      <c r="E991" s="14" t="s">
        <v>2746</v>
      </c>
      <c r="F991" s="40" t="str">
        <f>IF(wskakunin_gaiyou1_KOUJI_SONOTA_TEXT="","",wskakunin_gaiyou1_KOUJI_SONOTA_TEXT)</f>
        <v/>
      </c>
    </row>
    <row r="992" spans="1:7" ht="15" customHeight="1" x14ac:dyDescent="0.15">
      <c r="A992" s="7"/>
      <c r="B992" s="39"/>
      <c r="D992" s="15"/>
      <c r="F992" s="15"/>
    </row>
    <row r="993" spans="1:6" ht="15" customHeight="1" x14ac:dyDescent="0.15">
      <c r="A993" s="7"/>
      <c r="B993" s="39" t="s">
        <v>2616</v>
      </c>
      <c r="C993" s="14" t="s">
        <v>2622</v>
      </c>
      <c r="D993" s="141"/>
      <c r="E993" s="14" t="s">
        <v>2628</v>
      </c>
      <c r="F993" s="141" t="str">
        <f>IF(wskakunin_gaiyou1_TIKUZOU_MENSEKI_SHINSEI="","",wskakunin_gaiyou1_TIKUZOU_MENSEKI_SHINSEI)</f>
        <v/>
      </c>
    </row>
    <row r="994" spans="1:6" ht="15" customHeight="1" x14ac:dyDescent="0.15">
      <c r="A994" s="7"/>
      <c r="B994" s="39" t="s">
        <v>2617</v>
      </c>
      <c r="C994" s="14" t="s">
        <v>2623</v>
      </c>
      <c r="D994" s="141"/>
      <c r="E994" s="14" t="s">
        <v>2629</v>
      </c>
      <c r="F994" s="141" t="str">
        <f>IF(wskakunin_gaiyou1_TIKUZOU_MENSEKI_IGAI="","",wskakunin_gaiyou1_TIKUZOU_MENSEKI_IGAI)</f>
        <v/>
      </c>
    </row>
    <row r="995" spans="1:6" ht="15" customHeight="1" x14ac:dyDescent="0.15">
      <c r="A995" s="7"/>
      <c r="B995" s="39" t="s">
        <v>2618</v>
      </c>
      <c r="C995" s="14" t="s">
        <v>2624</v>
      </c>
      <c r="D995" s="141"/>
      <c r="E995" s="14" t="s">
        <v>2630</v>
      </c>
      <c r="F995" s="141" t="str">
        <f>IF(wskakunin_gaiyou1_TIKUZOU_MENSEKI_TOTAL="","",wskakunin_gaiyou1_TIKUZOU_MENSEKI_TOTAL)</f>
        <v/>
      </c>
    </row>
    <row r="996" spans="1:6" ht="15" customHeight="1" x14ac:dyDescent="0.15">
      <c r="A996" s="7"/>
      <c r="B996" s="39" t="s">
        <v>2619</v>
      </c>
      <c r="C996" s="14" t="s">
        <v>2625</v>
      </c>
      <c r="D996" s="141"/>
      <c r="E996" s="14" t="s">
        <v>2631</v>
      </c>
      <c r="F996" s="141" t="str">
        <f>IF(wskakunin_gaiyou1_WORK_COUNT_SHINSEI="","",wskakunin_gaiyou1_WORK_COUNT_SHINSEI)</f>
        <v/>
      </c>
    </row>
    <row r="997" spans="1:6" ht="15" customHeight="1" x14ac:dyDescent="0.15">
      <c r="A997" s="7"/>
      <c r="B997" s="39" t="s">
        <v>2620</v>
      </c>
      <c r="C997" s="14" t="s">
        <v>2626</v>
      </c>
      <c r="D997" s="141"/>
      <c r="E997" s="14" t="s">
        <v>2632</v>
      </c>
      <c r="F997" s="141" t="str">
        <f>IF(wskakunin_gaiyou1_WORK_COUNT_IGAI="","",wskakunin_gaiyou1_WORK_COUNT_IGAI)</f>
        <v/>
      </c>
    </row>
    <row r="998" spans="1:6" ht="15" customHeight="1" x14ac:dyDescent="0.15">
      <c r="A998" s="7"/>
      <c r="B998" s="39" t="s">
        <v>2621</v>
      </c>
      <c r="C998" s="14" t="s">
        <v>2627</v>
      </c>
      <c r="D998" s="141"/>
      <c r="E998" s="14" t="s">
        <v>2633</v>
      </c>
      <c r="F998" s="141" t="str">
        <f>IF(wskakunin_gaiyou1_WORK_COUNT_TOTAL="","",wskakunin_gaiyou1_WORK_COUNT_TOTAL)</f>
        <v/>
      </c>
    </row>
    <row r="999" spans="1:6" ht="15" customHeight="1" x14ac:dyDescent="0.15">
      <c r="A999" s="8"/>
      <c r="B999" s="68"/>
      <c r="D999" s="15"/>
    </row>
    <row r="1000" spans="1:6" ht="15" customHeight="1" x14ac:dyDescent="0.15">
      <c r="A1000" s="7" t="s">
        <v>2587</v>
      </c>
      <c r="B1000" s="25"/>
      <c r="D1000" s="15"/>
    </row>
    <row r="1001" spans="1:6" ht="15" customHeight="1" x14ac:dyDescent="0.15">
      <c r="A1001" s="7"/>
      <c r="B1001" s="39" t="s">
        <v>2588</v>
      </c>
      <c r="C1001" s="14" t="s">
        <v>2597</v>
      </c>
      <c r="D1001" s="141"/>
      <c r="E1001" s="14" t="s">
        <v>2606</v>
      </c>
      <c r="F1001" s="141" t="str">
        <f>IF(wskakunin_gaiyou1_NO="","",wskakunin_gaiyou1_NO)</f>
        <v/>
      </c>
    </row>
    <row r="1002" spans="1:6" ht="15" customHeight="1" x14ac:dyDescent="0.15">
      <c r="A1002" s="7"/>
      <c r="B1002" s="39" t="s">
        <v>2589</v>
      </c>
      <c r="C1002" s="14" t="s">
        <v>2598</v>
      </c>
      <c r="D1002" s="141"/>
      <c r="E1002" s="14" t="s">
        <v>2607</v>
      </c>
      <c r="F1002" s="141" t="str">
        <f>IF(wskakunin_gaiyou1_EV_KIND="","",wskakunin_gaiyou1_EV_KIND)</f>
        <v/>
      </c>
    </row>
    <row r="1003" spans="1:6" ht="15" customHeight="1" x14ac:dyDescent="0.15">
      <c r="A1003" s="7"/>
      <c r="B1003" s="39" t="s">
        <v>2590</v>
      </c>
      <c r="C1003" s="14" t="s">
        <v>2599</v>
      </c>
      <c r="D1003" s="141"/>
      <c r="E1003" s="14" t="s">
        <v>2608</v>
      </c>
      <c r="F1003" s="141" t="str">
        <f>IF(wskakunin_gaiyou1_YOUTO="","",wskakunin_gaiyou1_YOUTO)</f>
        <v/>
      </c>
    </row>
    <row r="1004" spans="1:6" ht="15" customHeight="1" x14ac:dyDescent="0.15">
      <c r="A1004" s="7"/>
      <c r="B1004" s="39" t="s">
        <v>2591</v>
      </c>
      <c r="C1004" s="14" t="s">
        <v>2600</v>
      </c>
      <c r="D1004" s="141"/>
      <c r="E1004" s="14" t="s">
        <v>2609</v>
      </c>
      <c r="F1004" s="141" t="str">
        <f>IF(wskakunin_gaiyou1_SEKISAI="","",wskakunin_gaiyou1_SEKISAI)</f>
        <v/>
      </c>
    </row>
    <row r="1005" spans="1:6" ht="15" customHeight="1" x14ac:dyDescent="0.15">
      <c r="A1005" s="7"/>
      <c r="B1005" s="39" t="s">
        <v>2592</v>
      </c>
      <c r="C1005" s="14" t="s">
        <v>2601</v>
      </c>
      <c r="D1005" s="141"/>
      <c r="E1005" s="14" t="s">
        <v>2610</v>
      </c>
      <c r="F1005" s="141" t="str">
        <f>IF(wskakunin_gaiyou1_TEIIN="","",wskakunin_gaiyou1_TEIIN)</f>
        <v/>
      </c>
    </row>
    <row r="1006" spans="1:6" ht="15" customHeight="1" x14ac:dyDescent="0.15">
      <c r="A1006" s="7"/>
      <c r="B1006" s="39" t="s">
        <v>2593</v>
      </c>
      <c r="C1006" s="14" t="s">
        <v>2602</v>
      </c>
      <c r="D1006" s="141"/>
      <c r="E1006" s="14" t="s">
        <v>2611</v>
      </c>
      <c r="F1006" s="141" t="str">
        <f>IF(wskakunin_gaiyou1_SPEED="","",wskakunin_gaiyou1_SPEED)</f>
        <v/>
      </c>
    </row>
    <row r="1007" spans="1:6" ht="15" customHeight="1" x14ac:dyDescent="0.15">
      <c r="A1007" s="7"/>
      <c r="B1007" s="39" t="s">
        <v>2594</v>
      </c>
      <c r="C1007" s="14" t="s">
        <v>2603</v>
      </c>
      <c r="D1007" s="141"/>
      <c r="E1007" s="14" t="s">
        <v>2612</v>
      </c>
      <c r="F1007" s="141" t="str">
        <f>IF(wskakunin_gaiyou1_SONOTA="","",wskakunin_gaiyou1_SONOTA)</f>
        <v/>
      </c>
    </row>
    <row r="1008" spans="1:6" ht="15" customHeight="1" x14ac:dyDescent="0.15">
      <c r="A1008" s="7"/>
      <c r="B1008" s="39" t="s">
        <v>2595</v>
      </c>
      <c r="C1008" s="14" t="s">
        <v>2604</v>
      </c>
      <c r="D1008" s="141"/>
      <c r="E1008" s="14" t="s">
        <v>2613</v>
      </c>
      <c r="F1008" s="141" t="str">
        <f>IF(wskakunin_gaiyou1_NINSYOU_NO="","",wskakunin_gaiyou1_NINSYOU_NO)</f>
        <v/>
      </c>
    </row>
    <row r="1009" spans="1:6" ht="15" customHeight="1" x14ac:dyDescent="0.15">
      <c r="A1009" s="7"/>
      <c r="B1009" s="39" t="s">
        <v>2596</v>
      </c>
      <c r="C1009" s="14" t="s">
        <v>2605</v>
      </c>
      <c r="D1009" s="141"/>
      <c r="E1009" s="14" t="s">
        <v>2614</v>
      </c>
      <c r="F1009" s="141" t="str">
        <f>IF(wskakunin_gaiyou1_SONOTA_and_NINSYOU_NO="","",wskakunin_gaiyou1_SONOTA_and_NINSYOU_NO)</f>
        <v/>
      </c>
    </row>
    <row r="1010" spans="1:6" ht="15" customHeight="1" x14ac:dyDescent="0.15">
      <c r="A1010" s="7"/>
      <c r="B1010" s="68"/>
      <c r="D1010" s="15"/>
    </row>
    <row r="1011" spans="1:6" ht="15" customHeight="1" x14ac:dyDescent="0.15">
      <c r="A1011" s="1" t="s">
        <v>584</v>
      </c>
      <c r="B1011" s="24"/>
      <c r="D1011" s="15"/>
      <c r="F1011" s="15"/>
    </row>
    <row r="1012" spans="1:6" ht="15" customHeight="1" x14ac:dyDescent="0.15">
      <c r="A1012" s="527" t="s">
        <v>1423</v>
      </c>
      <c r="B1012" s="67" t="s">
        <v>687</v>
      </c>
      <c r="C1012" s="14" t="s">
        <v>3064</v>
      </c>
      <c r="D1012" s="232">
        <v>129.18</v>
      </c>
      <c r="E1012" s="14" t="s">
        <v>3067</v>
      </c>
      <c r="F1012" s="232">
        <f>IF(wskakunin_KENTIKU_MENSEKI_ZENTAI_SHINSEI="","",wskakunin_KENTIKU_MENSEKI_ZENTAI_SHINSEI)</f>
        <v>129.18</v>
      </c>
    </row>
    <row r="1013" spans="1:6" ht="15" customHeight="1" x14ac:dyDescent="0.15">
      <c r="A1013" s="527"/>
      <c r="B1013" s="67" t="s">
        <v>585</v>
      </c>
      <c r="C1013" s="14" t="s">
        <v>3065</v>
      </c>
      <c r="D1013" s="232"/>
      <c r="E1013" s="14" t="s">
        <v>3068</v>
      </c>
      <c r="F1013" s="232" t="str">
        <f>IF(wskakunin_KENTIKU_MENSEKI_ZENTAI_IGAI="","",wskakunin_KENTIKU_MENSEKI_ZENTAI_IGAI)</f>
        <v/>
      </c>
    </row>
    <row r="1014" spans="1:6" ht="15" customHeight="1" x14ac:dyDescent="0.15">
      <c r="A1014" s="527"/>
      <c r="B1014" s="67" t="s">
        <v>586</v>
      </c>
      <c r="C1014" s="14" t="s">
        <v>3066</v>
      </c>
      <c r="D1014" s="232">
        <v>129.18</v>
      </c>
      <c r="E1014" s="14" t="s">
        <v>3069</v>
      </c>
      <c r="F1014" s="232">
        <f>IF(wskakunin_KENTIKU_MENSEKI_ZENTAI_TOTAL="","",wskakunin_KENTIKU_MENSEKI_ZENTAI_TOTAL)</f>
        <v>129.18</v>
      </c>
    </row>
    <row r="1015" spans="1:6" ht="15" customHeight="1" x14ac:dyDescent="0.15">
      <c r="A1015" s="527" t="s">
        <v>3063</v>
      </c>
      <c r="B1015" s="67" t="s">
        <v>687</v>
      </c>
      <c r="C1015" s="14" t="s">
        <v>1206</v>
      </c>
      <c r="D1015" s="232">
        <v>129.18</v>
      </c>
      <c r="E1015" s="14" t="s">
        <v>1207</v>
      </c>
      <c r="F1015" s="232">
        <f>IF(wskakunin_KENTIKU_MENSEKI_SHINSEI="", "", wskakunin_KENTIKU_MENSEKI_SHINSEI)</f>
        <v>129.18</v>
      </c>
    </row>
    <row r="1016" spans="1:6" ht="15" customHeight="1" x14ac:dyDescent="0.15">
      <c r="A1016" s="527"/>
      <c r="B1016" s="67" t="s">
        <v>585</v>
      </c>
      <c r="C1016" s="14" t="s">
        <v>1208</v>
      </c>
      <c r="D1016" s="232"/>
      <c r="E1016" s="14" t="s">
        <v>1209</v>
      </c>
      <c r="F1016" s="232" t="str">
        <f>IF(wskakunin_KENTIKU_MENSEKI_IGAI="","",wskakunin_KENTIKU_MENSEKI_IGAI)</f>
        <v/>
      </c>
    </row>
    <row r="1017" spans="1:6" ht="15" customHeight="1" x14ac:dyDescent="0.15">
      <c r="A1017" s="527"/>
      <c r="B1017" s="67" t="s">
        <v>586</v>
      </c>
      <c r="C1017" s="14" t="s">
        <v>1210</v>
      </c>
      <c r="D1017" s="232">
        <v>129.18</v>
      </c>
      <c r="E1017" s="14" t="s">
        <v>1211</v>
      </c>
      <c r="F1017" s="232">
        <f>IF(wskakunin_KENTIKU_MENSEKI_TOTAL="","",wskakunin_KENTIKU_MENSEKI_TOTAL)</f>
        <v>129.18</v>
      </c>
    </row>
    <row r="1018" spans="1:6" ht="15" customHeight="1" x14ac:dyDescent="0.15">
      <c r="A1018" s="7"/>
      <c r="B1018" s="67" t="s">
        <v>580</v>
      </c>
      <c r="C1018" s="14" t="s">
        <v>1212</v>
      </c>
      <c r="D1018" s="232">
        <v>35.200000000000003</v>
      </c>
      <c r="E1018" s="14" t="s">
        <v>1213</v>
      </c>
      <c r="F1018" s="232">
        <f>IF(wskakunin_KENPEI_RITU="","",wskakunin_KENPEI_RITU)</f>
        <v>35.200000000000003</v>
      </c>
    </row>
    <row r="1019" spans="1:6" ht="15" customHeight="1" x14ac:dyDescent="0.15">
      <c r="A1019" s="8"/>
      <c r="B1019" s="68"/>
    </row>
    <row r="1020" spans="1:6" ht="15" customHeight="1" x14ac:dyDescent="0.15">
      <c r="A1020" s="63" t="s">
        <v>587</v>
      </c>
      <c r="B1020" s="64"/>
      <c r="D1020" s="15"/>
      <c r="F1020" s="15"/>
    </row>
    <row r="1021" spans="1:6" ht="15" customHeight="1" x14ac:dyDescent="0.15">
      <c r="A1021" s="7" t="s">
        <v>1423</v>
      </c>
      <c r="B1021" s="25"/>
      <c r="D1021" s="15"/>
      <c r="F1021" s="15"/>
    </row>
    <row r="1022" spans="1:6" ht="15" customHeight="1" x14ac:dyDescent="0.15">
      <c r="A1022" s="7"/>
      <c r="B1022" s="67" t="s">
        <v>687</v>
      </c>
      <c r="C1022" s="14" t="s">
        <v>1214</v>
      </c>
      <c r="D1022" s="231">
        <v>117.59</v>
      </c>
      <c r="E1022" s="14" t="s">
        <v>1215</v>
      </c>
      <c r="F1022" s="231">
        <f>IF(wskakunin_NOBE_MENSEKI_BUILD_SHINSEI="", "", wskakunin_NOBE_MENSEKI_BUILD_SHINSEI)</f>
        <v>117.59</v>
      </c>
    </row>
    <row r="1023" spans="1:6" ht="15" customHeight="1" x14ac:dyDescent="0.15">
      <c r="A1023" s="7"/>
      <c r="B1023" s="67" t="s">
        <v>585</v>
      </c>
      <c r="C1023" s="14" t="s">
        <v>1216</v>
      </c>
      <c r="D1023" s="231"/>
      <c r="E1023" s="14" t="s">
        <v>1217</v>
      </c>
      <c r="F1023" s="231" t="str">
        <f>IF(wskakunin_NOBE_MENSEKI_BUILD_IGAI="","",wskakunin_NOBE_MENSEKI_BUILD_IGAI)</f>
        <v/>
      </c>
    </row>
    <row r="1024" spans="1:6" ht="15" customHeight="1" x14ac:dyDescent="0.15">
      <c r="A1024" s="7"/>
      <c r="B1024" s="67" t="s">
        <v>586</v>
      </c>
      <c r="C1024" s="14" t="s">
        <v>1218</v>
      </c>
      <c r="D1024" s="231">
        <v>117.59</v>
      </c>
      <c r="E1024" s="14" t="s">
        <v>1219</v>
      </c>
      <c r="F1024" s="231">
        <f>IF(wskakunin_NOBE_MENSEKI_BUILD_TOTAL="","",wskakunin_NOBE_MENSEKI_BUILD_TOTAL)</f>
        <v>117.59</v>
      </c>
    </row>
    <row r="1025" spans="1:6" ht="15" customHeight="1" x14ac:dyDescent="0.15">
      <c r="A1025" s="7"/>
      <c r="B1025" s="39"/>
      <c r="D1025" s="104"/>
      <c r="F1025" s="104"/>
    </row>
    <row r="1026" spans="1:6" ht="15" customHeight="1" x14ac:dyDescent="0.15">
      <c r="A1026" s="41" t="s">
        <v>1424</v>
      </c>
      <c r="B1026" s="65"/>
      <c r="D1026" s="104"/>
      <c r="F1026" s="104"/>
    </row>
    <row r="1027" spans="1:6" ht="15" customHeight="1" x14ac:dyDescent="0.15">
      <c r="A1027" s="7"/>
      <c r="B1027" s="67" t="s">
        <v>687</v>
      </c>
      <c r="C1027" s="14" t="s">
        <v>1220</v>
      </c>
      <c r="D1027" s="231"/>
      <c r="E1027" s="14" t="s">
        <v>1221</v>
      </c>
      <c r="F1027" s="231" t="str">
        <f>IF(wskakunin_NOBE_MENSEKI_TIKAI_SHINSEI="","",wskakunin_NOBE_MENSEKI_TIKAI_SHINSEI)</f>
        <v/>
      </c>
    </row>
    <row r="1028" spans="1:6" ht="15" customHeight="1" x14ac:dyDescent="0.15">
      <c r="A1028" s="7"/>
      <c r="B1028" s="67" t="s">
        <v>585</v>
      </c>
      <c r="C1028" s="14" t="s">
        <v>1222</v>
      </c>
      <c r="D1028" s="231"/>
      <c r="E1028" s="14" t="s">
        <v>1223</v>
      </c>
      <c r="F1028" s="231" t="str">
        <f>IF(wskakunin_NOBE_MENSEKI_TIKAI_IGAI="","",wskakunin_NOBE_MENSEKI_TIKAI_IGAI)</f>
        <v/>
      </c>
    </row>
    <row r="1029" spans="1:6" ht="15" customHeight="1" x14ac:dyDescent="0.15">
      <c r="A1029" s="7"/>
      <c r="B1029" s="67" t="s">
        <v>586</v>
      </c>
      <c r="C1029" s="14" t="s">
        <v>1224</v>
      </c>
      <c r="D1029" s="231"/>
      <c r="E1029" s="14" t="s">
        <v>1225</v>
      </c>
      <c r="F1029" s="231" t="str">
        <f>IF(wskakunin_NOBE_MENSEKI_TIKAI_TOTAL="","",wskakunin_NOBE_MENSEKI_TIKAI_TOTAL)</f>
        <v/>
      </c>
    </row>
    <row r="1030" spans="1:6" ht="15" customHeight="1" x14ac:dyDescent="0.15">
      <c r="A1030" s="66"/>
      <c r="B1030" s="67"/>
      <c r="D1030" s="104"/>
      <c r="F1030" s="104"/>
    </row>
    <row r="1031" spans="1:6" ht="15" customHeight="1" x14ac:dyDescent="0.15">
      <c r="A1031" s="41" t="s">
        <v>1425</v>
      </c>
      <c r="B1031" s="65"/>
      <c r="D1031" s="104"/>
      <c r="F1031" s="104"/>
    </row>
    <row r="1032" spans="1:6" ht="15" customHeight="1" x14ac:dyDescent="0.15">
      <c r="A1032" s="7"/>
      <c r="B1032" s="67" t="s">
        <v>687</v>
      </c>
      <c r="C1032" s="14" t="s">
        <v>1226</v>
      </c>
      <c r="D1032" s="231"/>
      <c r="E1032" s="14" t="s">
        <v>1227</v>
      </c>
      <c r="F1032" s="231" t="str">
        <f>IF(wskakunin_NOBE_MENSEKI_SYOUKOURO_SHINSEI="","",wskakunin_NOBE_MENSEKI_SYOUKOURO_SHINSEI)</f>
        <v/>
      </c>
    </row>
    <row r="1033" spans="1:6" ht="15" customHeight="1" x14ac:dyDescent="0.15">
      <c r="A1033" s="7"/>
      <c r="B1033" s="67" t="s">
        <v>585</v>
      </c>
      <c r="C1033" s="14" t="s">
        <v>1228</v>
      </c>
      <c r="D1033" s="231"/>
      <c r="E1033" s="14" t="s">
        <v>1229</v>
      </c>
      <c r="F1033" s="231" t="str">
        <f>IF(wskakunin_NOBE_MENSEKI_SYOUKOURO_IGAI="","",wskakunin_NOBE_MENSEKI_SYOUKOURO_IGAI)</f>
        <v/>
      </c>
    </row>
    <row r="1034" spans="1:6" ht="15" customHeight="1" x14ac:dyDescent="0.15">
      <c r="A1034" s="7"/>
      <c r="B1034" s="67" t="s">
        <v>586</v>
      </c>
      <c r="C1034" s="14" t="s">
        <v>1230</v>
      </c>
      <c r="D1034" s="231"/>
      <c r="E1034" s="14" t="s">
        <v>1231</v>
      </c>
      <c r="F1034" s="231" t="str">
        <f>IF(wskakunin_NOBE_MENSEKI_SYOUKOURO_TOTAL="","",wskakunin_NOBE_MENSEKI_SYOUKOURO_TOTAL)</f>
        <v/>
      </c>
    </row>
    <row r="1035" spans="1:6" ht="15" customHeight="1" x14ac:dyDescent="0.15">
      <c r="A1035" s="66"/>
      <c r="B1035" s="67"/>
      <c r="D1035" s="104"/>
      <c r="F1035" s="104"/>
    </row>
    <row r="1036" spans="1:6" ht="15" customHeight="1" x14ac:dyDescent="0.15">
      <c r="A1036" s="41" t="s">
        <v>1426</v>
      </c>
      <c r="B1036" s="65"/>
      <c r="D1036" s="104"/>
      <c r="F1036" s="104"/>
    </row>
    <row r="1037" spans="1:6" ht="15" customHeight="1" x14ac:dyDescent="0.15">
      <c r="A1037" s="7"/>
      <c r="B1037" s="67" t="s">
        <v>687</v>
      </c>
      <c r="C1037" s="14" t="s">
        <v>1232</v>
      </c>
      <c r="D1037" s="231"/>
      <c r="E1037" s="14" t="s">
        <v>1233</v>
      </c>
      <c r="F1037" s="231" t="str">
        <f>IF(wskakunin_NOBE_MENSEKI_KYOYOU_SHINSEI="","",wskakunin_NOBE_MENSEKI_KYOYOU_SHINSEI)</f>
        <v/>
      </c>
    </row>
    <row r="1038" spans="1:6" ht="15" customHeight="1" x14ac:dyDescent="0.15">
      <c r="A1038" s="7"/>
      <c r="B1038" s="67" t="s">
        <v>585</v>
      </c>
      <c r="C1038" s="14" t="s">
        <v>1234</v>
      </c>
      <c r="D1038" s="231"/>
      <c r="E1038" s="14" t="s">
        <v>1235</v>
      </c>
      <c r="F1038" s="231" t="str">
        <f>IF(wskakunin_NOBE_MENSEKI_KYOYOU_IGAI="","",wskakunin_NOBE_MENSEKI_KYOYOU_IGAI)</f>
        <v/>
      </c>
    </row>
    <row r="1039" spans="1:6" ht="15" customHeight="1" x14ac:dyDescent="0.15">
      <c r="A1039" s="7"/>
      <c r="B1039" s="67" t="s">
        <v>586</v>
      </c>
      <c r="C1039" s="14" t="s">
        <v>1236</v>
      </c>
      <c r="D1039" s="231"/>
      <c r="E1039" s="14" t="s">
        <v>1237</v>
      </c>
      <c r="F1039" s="231" t="str">
        <f>IF(wskakunin_NOBE_MENSEKI_KYOYOU_TOTAL="","",wskakunin_NOBE_MENSEKI_KYOYOU_TOTAL)</f>
        <v/>
      </c>
    </row>
    <row r="1040" spans="1:6" ht="15" customHeight="1" x14ac:dyDescent="0.15">
      <c r="A1040" s="66"/>
      <c r="B1040" s="67"/>
      <c r="D1040" s="104"/>
      <c r="F1040" s="104"/>
    </row>
    <row r="1041" spans="1:6" ht="15" customHeight="1" x14ac:dyDescent="0.15">
      <c r="A1041" s="41" t="s">
        <v>3082</v>
      </c>
      <c r="B1041" s="65"/>
      <c r="D1041" s="104"/>
      <c r="F1041" s="104"/>
    </row>
    <row r="1042" spans="1:6" ht="15" customHeight="1" x14ac:dyDescent="0.15">
      <c r="A1042" s="7"/>
      <c r="B1042" s="67" t="s">
        <v>687</v>
      </c>
      <c r="C1042" s="14" t="s">
        <v>3083</v>
      </c>
      <c r="D1042" s="231"/>
      <c r="E1042" s="14" t="s">
        <v>3090</v>
      </c>
      <c r="F1042" s="231" t="str">
        <f>IF(wskakunin_NOBE_MENSEKI_KIKAI_SHINSEI="","",wskakunin_NOBE_MENSEKI_KIKAI_SHINSEI)</f>
        <v/>
      </c>
    </row>
    <row r="1043" spans="1:6" ht="15" customHeight="1" x14ac:dyDescent="0.15">
      <c r="A1043" s="7"/>
      <c r="B1043" s="67" t="s">
        <v>585</v>
      </c>
      <c r="C1043" s="14" t="s">
        <v>3084</v>
      </c>
      <c r="D1043" s="231"/>
      <c r="E1043" s="14" t="s">
        <v>3091</v>
      </c>
      <c r="F1043" s="231" t="str">
        <f>IF(wskakunin_NOBE_MENSEKI_KIKAI_IGAI="","",wskakunin_NOBE_MENSEKI_KIKAI_IGAI)</f>
        <v/>
      </c>
    </row>
    <row r="1044" spans="1:6" ht="15" customHeight="1" x14ac:dyDescent="0.15">
      <c r="A1044" s="7"/>
      <c r="B1044" s="67" t="s">
        <v>586</v>
      </c>
      <c r="C1044" s="14" t="s">
        <v>3085</v>
      </c>
      <c r="D1044" s="231"/>
      <c r="E1044" s="14" t="s">
        <v>3092</v>
      </c>
      <c r="F1044" s="231" t="str">
        <f>IF(wskakunin_NOBE_MENSEKI_KIKAI_TOTAL="","",wskakunin_NOBE_MENSEKI_KIKAI_TOTAL)</f>
        <v/>
      </c>
    </row>
    <row r="1045" spans="1:6" ht="15" customHeight="1" x14ac:dyDescent="0.15">
      <c r="A1045" s="66"/>
      <c r="B1045" s="67"/>
      <c r="D1045" s="104"/>
      <c r="F1045" s="104"/>
    </row>
    <row r="1046" spans="1:6" ht="15" customHeight="1" x14ac:dyDescent="0.15">
      <c r="A1046" s="41" t="s">
        <v>1427</v>
      </c>
      <c r="B1046" s="65"/>
      <c r="D1046" s="104"/>
      <c r="F1046" s="104"/>
    </row>
    <row r="1047" spans="1:6" ht="15" customHeight="1" x14ac:dyDescent="0.15">
      <c r="A1047" s="7"/>
      <c r="B1047" s="67" t="s">
        <v>687</v>
      </c>
      <c r="C1047" s="14" t="s">
        <v>1238</v>
      </c>
      <c r="D1047" s="231"/>
      <c r="E1047" s="14" t="s">
        <v>1239</v>
      </c>
      <c r="F1047" s="231" t="str">
        <f>IF(wskakunin_NOBE_MENSEKI_SYAKO_SHINSEI="","",wskakunin_NOBE_MENSEKI_SYAKO_SHINSEI)</f>
        <v/>
      </c>
    </row>
    <row r="1048" spans="1:6" ht="15" customHeight="1" x14ac:dyDescent="0.15">
      <c r="A1048" s="7"/>
      <c r="B1048" s="67" t="s">
        <v>585</v>
      </c>
      <c r="C1048" s="14" t="s">
        <v>1240</v>
      </c>
      <c r="D1048" s="231"/>
      <c r="E1048" s="14" t="s">
        <v>1241</v>
      </c>
      <c r="F1048" s="231" t="str">
        <f>IF(wskakunin_NOBE_MENSEKI_SYAKO_IGAI="","",wskakunin_NOBE_MENSEKI_SYAKO_IGAI)</f>
        <v/>
      </c>
    </row>
    <row r="1049" spans="1:6" ht="15" customHeight="1" x14ac:dyDescent="0.15">
      <c r="A1049" s="7"/>
      <c r="B1049" s="67" t="s">
        <v>586</v>
      </c>
      <c r="C1049" s="14" t="s">
        <v>1242</v>
      </c>
      <c r="D1049" s="231"/>
      <c r="E1049" s="14" t="s">
        <v>1243</v>
      </c>
      <c r="F1049" s="231" t="str">
        <f>IF(wskakunin_NOBE_MENSEKI_SYAKO_TOTAL="","",wskakunin_NOBE_MENSEKI_SYAKO_TOTAL)</f>
        <v/>
      </c>
    </row>
    <row r="1050" spans="1:6" ht="15" customHeight="1" x14ac:dyDescent="0.15">
      <c r="A1050" s="66"/>
      <c r="B1050" s="67"/>
      <c r="D1050" s="104"/>
      <c r="F1050" s="104"/>
    </row>
    <row r="1051" spans="1:6" ht="15" customHeight="1" x14ac:dyDescent="0.15">
      <c r="A1051" s="41" t="s">
        <v>1428</v>
      </c>
      <c r="B1051" s="65"/>
      <c r="D1051" s="104"/>
      <c r="F1051" s="104"/>
    </row>
    <row r="1052" spans="1:6" ht="15" customHeight="1" x14ac:dyDescent="0.15">
      <c r="A1052" s="7"/>
      <c r="B1052" s="67" t="s">
        <v>687</v>
      </c>
      <c r="C1052" s="14" t="s">
        <v>1244</v>
      </c>
      <c r="D1052" s="231"/>
      <c r="E1052" s="14" t="s">
        <v>1245</v>
      </c>
      <c r="F1052" s="231" t="str">
        <f>IF(wskakunin_NOBE_MENSEKI_BITIKUSOUKO_SHINSEI="","",wskakunin_NOBE_MENSEKI_BITIKUSOUKO_SHINSEI)</f>
        <v/>
      </c>
    </row>
    <row r="1053" spans="1:6" ht="15" customHeight="1" x14ac:dyDescent="0.15">
      <c r="A1053" s="7"/>
      <c r="B1053" s="67" t="s">
        <v>585</v>
      </c>
      <c r="C1053" s="14" t="s">
        <v>1246</v>
      </c>
      <c r="D1053" s="231"/>
      <c r="E1053" s="14" t="s">
        <v>1247</v>
      </c>
      <c r="F1053" s="231" t="str">
        <f>IF(wskakunin_NOBE_MENSEKI_BITIKUSOUKO_IGAI="","",wskakunin_NOBE_MENSEKI_BITIKUSOUKO_IGAI)</f>
        <v/>
      </c>
    </row>
    <row r="1054" spans="1:6" ht="15" customHeight="1" x14ac:dyDescent="0.15">
      <c r="A1054" s="7"/>
      <c r="B1054" s="67" t="s">
        <v>586</v>
      </c>
      <c r="C1054" s="14" t="s">
        <v>1248</v>
      </c>
      <c r="D1054" s="231"/>
      <c r="E1054" s="14" t="s">
        <v>1249</v>
      </c>
      <c r="F1054" s="231" t="str">
        <f>IF(wskakunin_NOBE_MENSEKI_BITIKUSOUKO_TOTAL="","",wskakunin_NOBE_MENSEKI_BITIKUSOUKO_TOTAL)</f>
        <v/>
      </c>
    </row>
    <row r="1055" spans="1:6" ht="15" customHeight="1" x14ac:dyDescent="0.15">
      <c r="A1055" s="66"/>
      <c r="B1055" s="67"/>
      <c r="D1055" s="104"/>
      <c r="F1055" s="104"/>
    </row>
    <row r="1056" spans="1:6" ht="15" customHeight="1" x14ac:dyDescent="0.15">
      <c r="A1056" s="41" t="s">
        <v>1429</v>
      </c>
      <c r="B1056" s="65"/>
      <c r="D1056" s="104"/>
      <c r="F1056" s="104"/>
    </row>
    <row r="1057" spans="1:7" ht="15" customHeight="1" x14ac:dyDescent="0.15">
      <c r="A1057" s="7"/>
      <c r="B1057" s="67" t="s">
        <v>687</v>
      </c>
      <c r="C1057" s="14" t="s">
        <v>1250</v>
      </c>
      <c r="D1057" s="231"/>
      <c r="E1057" s="14" t="s">
        <v>1251</v>
      </c>
      <c r="F1057" s="231" t="str">
        <f>IF(wskakunin_NOBE_MENSEKI_TIKUDENTI_SHINSEI="","",wskakunin_NOBE_MENSEKI_TIKUDENTI_SHINSEI)</f>
        <v/>
      </c>
    </row>
    <row r="1058" spans="1:7" ht="15" customHeight="1" x14ac:dyDescent="0.15">
      <c r="A1058" s="7"/>
      <c r="B1058" s="67" t="s">
        <v>585</v>
      </c>
      <c r="C1058" s="14" t="s">
        <v>1252</v>
      </c>
      <c r="D1058" s="231"/>
      <c r="E1058" s="14" t="s">
        <v>1253</v>
      </c>
      <c r="F1058" s="231" t="str">
        <f>IF(wskakunin_NOBE_MENSEKI_TIKUDENTI_IGAI="","",wskakunin_NOBE_MENSEKI_TIKUDENTI_IGAI)</f>
        <v/>
      </c>
    </row>
    <row r="1059" spans="1:7" ht="15" customHeight="1" x14ac:dyDescent="0.15">
      <c r="A1059" s="7"/>
      <c r="B1059" s="67" t="s">
        <v>586</v>
      </c>
      <c r="C1059" s="14" t="s">
        <v>1254</v>
      </c>
      <c r="D1059" s="231"/>
      <c r="E1059" s="14" t="s">
        <v>1255</v>
      </c>
      <c r="F1059" s="231" t="str">
        <f>IF(wskakunin_NOBE_MENSEKI_TIKUDENTI_TOTAL="","",wskakunin_NOBE_MENSEKI_TIKUDENTI_TOTAL)</f>
        <v/>
      </c>
    </row>
    <row r="1060" spans="1:7" ht="15" customHeight="1" x14ac:dyDescent="0.15">
      <c r="A1060" s="66"/>
      <c r="B1060" s="67"/>
      <c r="D1060" s="104"/>
      <c r="F1060" s="104"/>
    </row>
    <row r="1061" spans="1:7" ht="15" customHeight="1" x14ac:dyDescent="0.15">
      <c r="A1061" s="41" t="s">
        <v>1430</v>
      </c>
      <c r="B1061" s="65"/>
      <c r="D1061" s="104"/>
      <c r="F1061" s="104"/>
    </row>
    <row r="1062" spans="1:7" ht="15" customHeight="1" x14ac:dyDescent="0.15">
      <c r="A1062" s="7"/>
      <c r="B1062" s="67" t="s">
        <v>687</v>
      </c>
      <c r="C1062" s="14" t="s">
        <v>1256</v>
      </c>
      <c r="D1062" s="231"/>
      <c r="E1062" s="14" t="s">
        <v>1257</v>
      </c>
      <c r="F1062" s="231" t="str">
        <f>IF(wskakunin_NOBE_MENSEKI_JIKAHATUDEN_SHINSEI="","",wskakunin_NOBE_MENSEKI_JIKAHATUDEN_SHINSEI)</f>
        <v/>
      </c>
    </row>
    <row r="1063" spans="1:7" ht="15" customHeight="1" x14ac:dyDescent="0.15">
      <c r="A1063" s="7"/>
      <c r="B1063" s="67" t="s">
        <v>585</v>
      </c>
      <c r="C1063" s="14" t="s">
        <v>1258</v>
      </c>
      <c r="D1063" s="231"/>
      <c r="E1063" s="14" t="s">
        <v>1259</v>
      </c>
      <c r="F1063" s="231" t="str">
        <f>IF(wskakunin_NOBE_MENSEKI_JIKAHATUDEN_IGAI="","",wskakunin_NOBE_MENSEKI_JIKAHATUDEN_IGAI)</f>
        <v/>
      </c>
      <c r="G1063" s="14" t="s">
        <v>595</v>
      </c>
    </row>
    <row r="1064" spans="1:7" ht="15" customHeight="1" x14ac:dyDescent="0.15">
      <c r="A1064" s="7"/>
      <c r="B1064" s="67" t="s">
        <v>586</v>
      </c>
      <c r="C1064" s="14" t="s">
        <v>1260</v>
      </c>
      <c r="D1064" s="231"/>
      <c r="E1064" s="14" t="s">
        <v>1261</v>
      </c>
      <c r="F1064" s="231" t="str">
        <f>IF(wskakunin_NOBE_MENSEKI_JIKAHATUDEN_TOTAL="","",wskakunin_NOBE_MENSEKI_JIKAHATUDEN_TOTAL)</f>
        <v/>
      </c>
      <c r="G1064" s="14" t="s">
        <v>596</v>
      </c>
    </row>
    <row r="1065" spans="1:7" ht="15" customHeight="1" x14ac:dyDescent="0.15">
      <c r="A1065" s="66"/>
      <c r="B1065" s="67"/>
      <c r="D1065" s="104"/>
      <c r="F1065" s="104"/>
    </row>
    <row r="1066" spans="1:7" ht="15" customHeight="1" x14ac:dyDescent="0.15">
      <c r="A1066" s="41" t="s">
        <v>1431</v>
      </c>
      <c r="B1066" s="65"/>
      <c r="D1066" s="104"/>
      <c r="F1066" s="104"/>
    </row>
    <row r="1067" spans="1:7" ht="15" customHeight="1" x14ac:dyDescent="0.15">
      <c r="A1067" s="7"/>
      <c r="B1067" s="67" t="s">
        <v>687</v>
      </c>
      <c r="C1067" s="14" t="s">
        <v>1262</v>
      </c>
      <c r="D1067" s="231"/>
      <c r="E1067" s="14" t="s">
        <v>1263</v>
      </c>
      <c r="F1067" s="231" t="str">
        <f>IF(wskakunin_NOBE_MENSEKI_CHOSUISOU_SHINSEI="","",wskakunin_NOBE_MENSEKI_CHOSUISOU_SHINSEI)</f>
        <v/>
      </c>
      <c r="G1067" s="14" t="s">
        <v>595</v>
      </c>
    </row>
    <row r="1068" spans="1:7" ht="15" customHeight="1" x14ac:dyDescent="0.15">
      <c r="A1068" s="7"/>
      <c r="B1068" s="67" t="s">
        <v>585</v>
      </c>
      <c r="C1068" s="14" t="s">
        <v>1264</v>
      </c>
      <c r="D1068" s="231"/>
      <c r="E1068" s="14" t="s">
        <v>1265</v>
      </c>
      <c r="F1068" s="231" t="str">
        <f>IF(wskakunin_NOBE_MENSEKI_CHOSUISOU_IGAI="","",wskakunin_NOBE_MENSEKI_CHOSUISOU_IGAI)</f>
        <v/>
      </c>
      <c r="G1068" s="14" t="s">
        <v>595</v>
      </c>
    </row>
    <row r="1069" spans="1:7" ht="15" customHeight="1" x14ac:dyDescent="0.15">
      <c r="A1069" s="7"/>
      <c r="B1069" s="67" t="s">
        <v>586</v>
      </c>
      <c r="C1069" s="14" t="s">
        <v>1266</v>
      </c>
      <c r="D1069" s="231"/>
      <c r="E1069" s="14" t="s">
        <v>1267</v>
      </c>
      <c r="F1069" s="231" t="str">
        <f>IF(wskakunin_NOBE_MENSEKI_CHOSUISOU_TOTAL="","",wskakunin_NOBE_MENSEKI_CHOSUISOU_TOTAL)</f>
        <v/>
      </c>
      <c r="G1069" s="14" t="s">
        <v>595</v>
      </c>
    </row>
    <row r="1070" spans="1:7" ht="15" customHeight="1" x14ac:dyDescent="0.15">
      <c r="A1070" s="66"/>
      <c r="B1070" s="67"/>
      <c r="D1070" s="104"/>
      <c r="F1070" s="104"/>
    </row>
    <row r="1071" spans="1:7" ht="15" customHeight="1" x14ac:dyDescent="0.15">
      <c r="A1071" s="525" t="s">
        <v>2561</v>
      </c>
      <c r="B1071" s="526"/>
      <c r="D1071" s="104"/>
      <c r="F1071" s="104"/>
    </row>
    <row r="1072" spans="1:7" ht="15" customHeight="1" x14ac:dyDescent="0.15">
      <c r="A1072" s="7"/>
      <c r="B1072" s="67" t="s">
        <v>687</v>
      </c>
      <c r="C1072" s="14" t="s">
        <v>2562</v>
      </c>
      <c r="D1072" s="231"/>
      <c r="E1072" s="14" t="s">
        <v>2565</v>
      </c>
      <c r="F1072" s="231" t="str">
        <f>IF(wskakunin_NOBE_MENSEKI_TAKUHAI_SHINSEI="","",wskakunin_NOBE_MENSEKI_TAKUHAI_SHINSEI)</f>
        <v/>
      </c>
    </row>
    <row r="1073" spans="1:6" ht="15" customHeight="1" x14ac:dyDescent="0.15">
      <c r="A1073" s="7"/>
      <c r="B1073" s="67" t="s">
        <v>585</v>
      </c>
      <c r="C1073" s="14" t="s">
        <v>2563</v>
      </c>
      <c r="D1073" s="231"/>
      <c r="E1073" s="14" t="s">
        <v>2566</v>
      </c>
      <c r="F1073" s="231" t="str">
        <f>IF(wskakunin_NOBE_MENSEKI_TAKUHAI_IGAI="","",wskakunin_NOBE_MENSEKI_TAKUHAI_IGAI)</f>
        <v/>
      </c>
    </row>
    <row r="1074" spans="1:6" ht="15" customHeight="1" x14ac:dyDescent="0.15">
      <c r="A1074" s="7"/>
      <c r="B1074" s="67" t="s">
        <v>586</v>
      </c>
      <c r="C1074" s="14" t="s">
        <v>2564</v>
      </c>
      <c r="D1074" s="231"/>
      <c r="E1074" s="14" t="s">
        <v>2567</v>
      </c>
      <c r="F1074" s="231" t="str">
        <f>IF(wskakunin_NOBE_MENSEKI_TAKUHAI_TOTAL="","",wskakunin_NOBE_MENSEKI_TAKUHAI_TOTAL)</f>
        <v/>
      </c>
    </row>
    <row r="1075" spans="1:6" ht="15" customHeight="1" x14ac:dyDescent="0.15">
      <c r="A1075" s="7"/>
      <c r="B1075" s="67"/>
      <c r="D1075" s="104"/>
      <c r="F1075" s="104"/>
    </row>
    <row r="1076" spans="1:6" ht="15" customHeight="1" x14ac:dyDescent="0.15">
      <c r="A1076" s="41" t="s">
        <v>3086</v>
      </c>
      <c r="B1076" s="65"/>
      <c r="D1076" s="104"/>
      <c r="F1076" s="104"/>
    </row>
    <row r="1077" spans="1:6" ht="15" customHeight="1" x14ac:dyDescent="0.15">
      <c r="A1077" s="7"/>
      <c r="B1077" s="67" t="s">
        <v>687</v>
      </c>
      <c r="C1077" s="14" t="s">
        <v>3087</v>
      </c>
      <c r="D1077" s="232"/>
      <c r="E1077" s="14" t="s">
        <v>3093</v>
      </c>
      <c r="F1077" s="232" t="str">
        <f>IF(wskakunin_NOBE_MENSEKI_FUSANNYU_SHINSEI="","",wskakunin_NOBE_MENSEKI_FUSANNYU_SHINSEI)</f>
        <v/>
      </c>
    </row>
    <row r="1078" spans="1:6" ht="15" customHeight="1" x14ac:dyDescent="0.15">
      <c r="A1078" s="7"/>
      <c r="B1078" s="67" t="s">
        <v>585</v>
      </c>
      <c r="C1078" s="14" t="s">
        <v>3088</v>
      </c>
      <c r="D1078" s="231"/>
      <c r="E1078" s="14" t="s">
        <v>3094</v>
      </c>
      <c r="F1078" s="231" t="str">
        <f>IF(wskakunin_NOBE_MENSEKI_FUSANNYU_IGAI="","",wskakunin_NOBE_MENSEKI_FUSANNYU_IGAI)</f>
        <v/>
      </c>
    </row>
    <row r="1079" spans="1:6" ht="15" customHeight="1" x14ac:dyDescent="0.15">
      <c r="A1079" s="7"/>
      <c r="B1079" s="67" t="s">
        <v>586</v>
      </c>
      <c r="C1079" s="14" t="s">
        <v>3089</v>
      </c>
      <c r="D1079" s="231"/>
      <c r="E1079" s="14" t="s">
        <v>3095</v>
      </c>
      <c r="F1079" s="231" t="str">
        <f>IF(wskakunin_NOBE_MENSEKI_FUSANNYU_TOTAL="","",wskakunin_NOBE_MENSEKI_FUSANNYU_TOTAL)</f>
        <v/>
      </c>
    </row>
    <row r="1080" spans="1:6" ht="15" customHeight="1" x14ac:dyDescent="0.15">
      <c r="A1080" s="66"/>
      <c r="B1080" s="67"/>
      <c r="D1080" s="104"/>
      <c r="F1080" s="104"/>
    </row>
    <row r="1081" spans="1:6" ht="15" customHeight="1" x14ac:dyDescent="0.15">
      <c r="A1081" s="41" t="s">
        <v>1432</v>
      </c>
      <c r="B1081" s="65"/>
      <c r="D1081" s="104"/>
      <c r="F1081" s="104"/>
    </row>
    <row r="1082" spans="1:6" ht="15" customHeight="1" x14ac:dyDescent="0.15">
      <c r="A1082" s="7"/>
      <c r="B1082" s="67" t="s">
        <v>687</v>
      </c>
      <c r="C1082" s="14" t="s">
        <v>1268</v>
      </c>
      <c r="D1082" s="232">
        <v>117.59</v>
      </c>
      <c r="E1082" s="14" t="s">
        <v>1269</v>
      </c>
      <c r="F1082" s="232">
        <f>IF(wskakunin_NOBE_MENSEKI_JYUTAKU_SHINSEI="", "", wskakunin_NOBE_MENSEKI_JYUTAKU_SHINSEI)</f>
        <v>117.59</v>
      </c>
    </row>
    <row r="1083" spans="1:6" ht="15" customHeight="1" x14ac:dyDescent="0.15">
      <c r="A1083" s="7"/>
      <c r="B1083" s="67" t="s">
        <v>585</v>
      </c>
      <c r="C1083" s="14" t="s">
        <v>1270</v>
      </c>
      <c r="D1083" s="231"/>
      <c r="E1083" s="14" t="s">
        <v>1271</v>
      </c>
      <c r="F1083" s="231" t="str">
        <f>IF(wskakunin_NOBE_MENSEKI_JYUTAKU_IGAI="","",wskakunin_NOBE_MENSEKI_JYUTAKU_IGAI)</f>
        <v/>
      </c>
    </row>
    <row r="1084" spans="1:6" ht="15" customHeight="1" x14ac:dyDescent="0.15">
      <c r="A1084" s="7"/>
      <c r="B1084" s="67" t="s">
        <v>586</v>
      </c>
      <c r="C1084" s="14" t="s">
        <v>1272</v>
      </c>
      <c r="D1084" s="231">
        <v>117.59</v>
      </c>
      <c r="E1084" s="14" t="s">
        <v>1273</v>
      </c>
      <c r="F1084" s="231">
        <f>IF(wskakunin_NOBE_MENSEKI_JYUTAKU_TOTAL="","",wskakunin_NOBE_MENSEKI_JYUTAKU_TOTAL)</f>
        <v>117.59</v>
      </c>
    </row>
    <row r="1085" spans="1:6" ht="15" customHeight="1" x14ac:dyDescent="0.15">
      <c r="A1085" s="66"/>
      <c r="B1085" s="67"/>
      <c r="D1085" s="104"/>
      <c r="F1085" s="104"/>
    </row>
    <row r="1086" spans="1:6" ht="15" customHeight="1" x14ac:dyDescent="0.15">
      <c r="A1086" s="41" t="s">
        <v>1433</v>
      </c>
      <c r="B1086" s="65"/>
      <c r="D1086" s="104"/>
      <c r="F1086" s="104"/>
    </row>
    <row r="1087" spans="1:6" ht="15" customHeight="1" x14ac:dyDescent="0.15">
      <c r="A1087" s="7"/>
      <c r="B1087" s="67" t="s">
        <v>687</v>
      </c>
      <c r="C1087" s="14" t="s">
        <v>1274</v>
      </c>
      <c r="D1087" s="231"/>
      <c r="E1087" s="14" t="s">
        <v>1275</v>
      </c>
      <c r="F1087" s="231" t="str">
        <f>IF(wskakunin_NOBE_MENSEKI_ROUJIN_SHINSEI="","",wskakunin_NOBE_MENSEKI_ROUJIN_SHINSEI)</f>
        <v/>
      </c>
    </row>
    <row r="1088" spans="1:6" ht="15" customHeight="1" x14ac:dyDescent="0.15">
      <c r="A1088" s="7"/>
      <c r="B1088" s="67" t="s">
        <v>585</v>
      </c>
      <c r="C1088" s="14" t="s">
        <v>1276</v>
      </c>
      <c r="D1088" s="231"/>
      <c r="E1088" s="14" t="s">
        <v>1277</v>
      </c>
      <c r="F1088" s="231" t="str">
        <f>IF(wskakunin_NOBE_MENSEKI_ROUJIN_IGAI="","",wskakunin_NOBE_MENSEKI_ROUJIN_IGAI)</f>
        <v/>
      </c>
    </row>
    <row r="1089" spans="1:6" ht="15" customHeight="1" x14ac:dyDescent="0.15">
      <c r="A1089" s="7"/>
      <c r="B1089" s="67" t="s">
        <v>586</v>
      </c>
      <c r="C1089" s="14" t="s">
        <v>1278</v>
      </c>
      <c r="D1089" s="231"/>
      <c r="E1089" s="14" t="s">
        <v>1279</v>
      </c>
      <c r="F1089" s="231" t="str">
        <f>IF(wskakunin_NOBE_MENSEKI_ROUJIN_TOTAL="","",wskakunin_NOBE_MENSEKI_ROUJIN_TOTAL)</f>
        <v/>
      </c>
    </row>
    <row r="1090" spans="1:6" ht="15" customHeight="1" x14ac:dyDescent="0.15">
      <c r="A1090" s="66"/>
      <c r="B1090" s="67"/>
      <c r="D1090" s="104"/>
      <c r="F1090" s="104"/>
    </row>
    <row r="1091" spans="1:6" ht="15" customHeight="1" x14ac:dyDescent="0.15">
      <c r="A1091" s="41" t="s">
        <v>1434</v>
      </c>
      <c r="B1091" s="65"/>
      <c r="D1091" s="104"/>
      <c r="F1091" s="104"/>
    </row>
    <row r="1092" spans="1:6" ht="15" customHeight="1" x14ac:dyDescent="0.15">
      <c r="A1092" s="7"/>
      <c r="B1092" s="67" t="s">
        <v>586</v>
      </c>
      <c r="C1092" s="14" t="s">
        <v>1280</v>
      </c>
      <c r="D1092" s="231">
        <v>117.59</v>
      </c>
      <c r="E1092" s="14" t="s">
        <v>1281</v>
      </c>
      <c r="F1092" s="231">
        <f>IF(wskakunin_NOBE_MENSEKI="","",wskakunin_NOBE_MENSEKI)</f>
        <v>117.59</v>
      </c>
    </row>
    <row r="1093" spans="1:6" ht="15" customHeight="1" x14ac:dyDescent="0.15">
      <c r="A1093" s="66"/>
      <c r="B1093" s="67"/>
      <c r="D1093" s="104"/>
      <c r="F1093" s="104"/>
    </row>
    <row r="1094" spans="1:6" ht="15" customHeight="1" x14ac:dyDescent="0.15">
      <c r="A1094" s="41" t="s">
        <v>173</v>
      </c>
      <c r="B1094" s="65"/>
      <c r="D1094" s="104"/>
      <c r="F1094" s="104"/>
    </row>
    <row r="1095" spans="1:6" ht="15" customHeight="1" x14ac:dyDescent="0.15">
      <c r="A1095" s="7"/>
      <c r="B1095" s="67" t="s">
        <v>586</v>
      </c>
      <c r="C1095" s="14" t="s">
        <v>1282</v>
      </c>
      <c r="D1095" s="231">
        <v>32.049999999999997</v>
      </c>
      <c r="E1095" s="14" t="s">
        <v>1283</v>
      </c>
      <c r="F1095" s="231">
        <f>IF(wskakunin_YOUSEKI_RITU="","",wskakunin_YOUSEKI_RITU)</f>
        <v>32.049999999999997</v>
      </c>
    </row>
    <row r="1096" spans="1:6" ht="15" customHeight="1" x14ac:dyDescent="0.15">
      <c r="A1096" s="66"/>
      <c r="B1096" s="67"/>
      <c r="D1096" s="104"/>
      <c r="F1096" s="104"/>
    </row>
    <row r="1097" spans="1:6" ht="15" customHeight="1" x14ac:dyDescent="0.15">
      <c r="A1097" s="7" t="s">
        <v>588</v>
      </c>
      <c r="B1097" s="25"/>
      <c r="D1097" s="15"/>
      <c r="F1097" s="15"/>
    </row>
    <row r="1098" spans="1:6" ht="15" customHeight="1" x14ac:dyDescent="0.15">
      <c r="A1098" s="7"/>
      <c r="B1098" s="67" t="s">
        <v>1284</v>
      </c>
      <c r="C1098" s="14" t="s">
        <v>1285</v>
      </c>
      <c r="D1098" s="141">
        <v>1</v>
      </c>
      <c r="E1098" s="14" t="s">
        <v>1286</v>
      </c>
      <c r="F1098" s="141">
        <f>IF(wskakunin_BUILD_SHINSEI_COUNT="","",wskakunin_BUILD_SHINSEI_COUNT)</f>
        <v>1</v>
      </c>
    </row>
    <row r="1099" spans="1:6" ht="15" customHeight="1" x14ac:dyDescent="0.15">
      <c r="A1099" s="7"/>
      <c r="B1099" s="67" t="s">
        <v>1287</v>
      </c>
      <c r="C1099" s="14" t="s">
        <v>1288</v>
      </c>
      <c r="D1099" s="141"/>
      <c r="E1099" s="14" t="s">
        <v>1289</v>
      </c>
      <c r="F1099" s="141" t="str">
        <f>IF(wskakunin_BUILD_SONOTA_COUNT="","",wskakunin_BUILD_SONOTA_COUNT)</f>
        <v/>
      </c>
    </row>
    <row r="1100" spans="1:6" ht="15" customHeight="1" x14ac:dyDescent="0.15">
      <c r="A1100" s="8"/>
      <c r="B1100" s="68"/>
      <c r="D1100" s="15"/>
      <c r="F1100" s="15"/>
    </row>
    <row r="1101" spans="1:6" ht="15" customHeight="1" x14ac:dyDescent="0.15">
      <c r="A1101" s="63" t="s">
        <v>589</v>
      </c>
      <c r="B1101" s="64"/>
      <c r="D1101" s="15"/>
      <c r="F1101" s="15"/>
    </row>
    <row r="1102" spans="1:6" ht="15" customHeight="1" x14ac:dyDescent="0.15">
      <c r="A1102" s="41" t="s">
        <v>771</v>
      </c>
      <c r="B1102" s="65"/>
      <c r="D1102" s="15"/>
      <c r="F1102" s="15"/>
    </row>
    <row r="1103" spans="1:6" ht="15" customHeight="1" x14ac:dyDescent="0.15">
      <c r="A1103" s="7"/>
      <c r="B1103" s="67" t="s">
        <v>695</v>
      </c>
      <c r="C1103" s="14" t="s">
        <v>1290</v>
      </c>
      <c r="D1103" s="230">
        <v>6.4809999999999999</v>
      </c>
      <c r="E1103" s="14" t="s">
        <v>1291</v>
      </c>
      <c r="F1103" s="230">
        <f>IF(wskakunin_TAKASA_MAX_SHINSEI="","",wskakunin_TAKASA_MAX_SHINSEI)</f>
        <v>6.4809999999999999</v>
      </c>
    </row>
    <row r="1104" spans="1:6" ht="15" customHeight="1" x14ac:dyDescent="0.15">
      <c r="A1104" s="66"/>
      <c r="B1104" s="67" t="s">
        <v>590</v>
      </c>
      <c r="C1104" s="14" t="s">
        <v>1292</v>
      </c>
      <c r="D1104" s="230"/>
      <c r="E1104" s="14" t="s">
        <v>1293</v>
      </c>
      <c r="F1104" s="230" t="str">
        <f>IF(wskakunin_TAKASA_MAX_SONOTA="","",wskakunin_TAKASA_MAX_SONOTA)</f>
        <v/>
      </c>
    </row>
    <row r="1105" spans="1:6" ht="15" customHeight="1" x14ac:dyDescent="0.15">
      <c r="A1105" s="41" t="s">
        <v>772</v>
      </c>
      <c r="B1105" s="65"/>
      <c r="D1105" s="15"/>
      <c r="F1105" s="15"/>
    </row>
    <row r="1106" spans="1:6" ht="15" customHeight="1" x14ac:dyDescent="0.15">
      <c r="A1106" s="7"/>
      <c r="B1106" s="67" t="s">
        <v>695</v>
      </c>
      <c r="C1106" s="14" t="s">
        <v>1294</v>
      </c>
      <c r="D1106" s="213" t="s">
        <v>3455</v>
      </c>
      <c r="E1106" s="14" t="s">
        <v>1295</v>
      </c>
      <c r="F1106" s="141" t="str">
        <f>IF(wskakunin_KAISU_TIJYOU_SHINSEI="", "", wskakunin_KAISU_TIJYOU_SHINSEI)</f>
        <v>1</v>
      </c>
    </row>
    <row r="1107" spans="1:6" ht="15" customHeight="1" x14ac:dyDescent="0.15">
      <c r="A1107" s="66"/>
      <c r="B1107" s="67" t="s">
        <v>590</v>
      </c>
      <c r="C1107" s="14" t="s">
        <v>1296</v>
      </c>
      <c r="D1107" s="141"/>
      <c r="E1107" s="14" t="s">
        <v>1297</v>
      </c>
      <c r="F1107" s="141" t="str">
        <f>IF(wskakunin_KAISU_TIJYOU_SONOTA="","",wskakunin_KAISU_TIJYOU_SONOTA)</f>
        <v/>
      </c>
    </row>
    <row r="1108" spans="1:6" ht="15" customHeight="1" x14ac:dyDescent="0.15">
      <c r="A1108" s="41" t="s">
        <v>773</v>
      </c>
      <c r="B1108" s="65"/>
      <c r="D1108" s="15"/>
      <c r="F1108" s="15"/>
    </row>
    <row r="1109" spans="1:6" ht="15" customHeight="1" x14ac:dyDescent="0.15">
      <c r="A1109" s="7"/>
      <c r="B1109" s="67" t="s">
        <v>695</v>
      </c>
      <c r="C1109" s="14" t="s">
        <v>1298</v>
      </c>
      <c r="D1109" s="213" t="s">
        <v>3456</v>
      </c>
      <c r="E1109" s="14" t="s">
        <v>1299</v>
      </c>
      <c r="F1109" s="141" t="str">
        <f>IF(wskakunin_KAISU_TIKA_SHINSEI__zero="", "", wskakunin_KAISU_TIKA_SHINSEI__zero)</f>
        <v>0</v>
      </c>
    </row>
    <row r="1110" spans="1:6" ht="15" customHeight="1" x14ac:dyDescent="0.15">
      <c r="A1110" s="66"/>
      <c r="B1110" s="67" t="s">
        <v>590</v>
      </c>
      <c r="C1110" s="14" t="s">
        <v>1300</v>
      </c>
      <c r="D1110" s="141"/>
      <c r="E1110" s="14" t="s">
        <v>1301</v>
      </c>
      <c r="F1110" s="141" t="str">
        <f>IF(wskakunin_KAISU_TIKA_SONOTA="","",wskakunin_KAISU_TIKA_SONOTA)</f>
        <v/>
      </c>
    </row>
    <row r="1111" spans="1:6" ht="15" customHeight="1" x14ac:dyDescent="0.15">
      <c r="A1111" s="41" t="s">
        <v>80</v>
      </c>
      <c r="B1111" s="65"/>
      <c r="D1111" s="15"/>
      <c r="F1111" s="15"/>
    </row>
    <row r="1112" spans="1:6" ht="15" customHeight="1" x14ac:dyDescent="0.15">
      <c r="A1112" s="7"/>
      <c r="B1112" s="67" t="s">
        <v>80</v>
      </c>
      <c r="C1112" s="14" t="s">
        <v>1302</v>
      </c>
      <c r="D1112" s="141" t="s">
        <v>44</v>
      </c>
      <c r="E1112" s="14" t="s">
        <v>1303</v>
      </c>
      <c r="F1112" s="141" t="str">
        <f>IF(wskakunin_KOUZOU1="","",wskakunin_KOUZOU1)</f>
        <v>木造</v>
      </c>
    </row>
    <row r="1113" spans="1:6" ht="15" customHeight="1" x14ac:dyDescent="0.15">
      <c r="A1113" s="7"/>
      <c r="B1113" s="67" t="s">
        <v>591</v>
      </c>
      <c r="C1113" s="14" t="s">
        <v>1304</v>
      </c>
      <c r="D1113" s="141"/>
      <c r="E1113" s="14" t="s">
        <v>1305</v>
      </c>
      <c r="F1113" s="141" t="str">
        <f>IF(wskakunin_KOUZOU2="","",wskakunin_KOUZOU2)</f>
        <v/>
      </c>
    </row>
    <row r="1114" spans="1:6" ht="15" customHeight="1" x14ac:dyDescent="0.15">
      <c r="A1114" s="7"/>
      <c r="B1114" s="67"/>
      <c r="E1114" s="14" t="s">
        <v>2559</v>
      </c>
      <c r="F1114" s="14" t="str">
        <f>IF(OR(LEFT(wskakunin_KOUZOU1,2)="木造",LEFT(wskakunin_KOUZOU2,2)="木造"),"○","")</f>
        <v>○</v>
      </c>
    </row>
    <row r="1115" spans="1:6" ht="15" customHeight="1" x14ac:dyDescent="0.15">
      <c r="A1115" s="82"/>
      <c r="B1115" s="67"/>
      <c r="D1115" s="15"/>
      <c r="E1115" s="14" t="s">
        <v>2560</v>
      </c>
      <c r="F1115" s="15"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16" spans="1:6" ht="15" customHeight="1" x14ac:dyDescent="0.15">
      <c r="A1116" s="7"/>
      <c r="B1116" s="25"/>
      <c r="D1116" s="15"/>
      <c r="E1116" s="14" t="s">
        <v>2727</v>
      </c>
      <c r="F1116" s="141" t="str">
        <f>IF(cst_wskakunin_KOUZOU1="","",IF(AND(cst_wskakunin_KOUZOU1&lt;&gt;"",cst_wskakunin_KOUZOU2&lt;&gt;""),cst_wskakunin_KOUZOU1&amp;" 一部 "&amp;cst_wskakunin_KOUZOU2,cst_wskakunin_KOUZOU1))</f>
        <v>木造</v>
      </c>
    </row>
    <row r="1117" spans="1:6" ht="15" customHeight="1" x14ac:dyDescent="0.15">
      <c r="A1117" s="7" t="s">
        <v>592</v>
      </c>
      <c r="B1117" s="25"/>
    </row>
    <row r="1118" spans="1:6" ht="15" customHeight="1" x14ac:dyDescent="0.15">
      <c r="A1118" s="7"/>
      <c r="B1118" s="67" t="s">
        <v>775</v>
      </c>
      <c r="C1118" s="14" t="s">
        <v>1306</v>
      </c>
      <c r="D1118" s="141">
        <v>0</v>
      </c>
      <c r="E1118" s="14" t="s">
        <v>1307</v>
      </c>
      <c r="F1118" s="141" t="str">
        <f>IF(wskakunin_TOKUREI_TAKASA=1,"有","無")</f>
        <v>無</v>
      </c>
    </row>
    <row r="1119" spans="1:6" ht="15" customHeight="1" x14ac:dyDescent="0.15">
      <c r="A1119" s="7"/>
      <c r="B1119" s="67" t="s">
        <v>776</v>
      </c>
      <c r="D1119" s="15"/>
      <c r="E1119" s="14" t="s">
        <v>778</v>
      </c>
      <c r="F1119" s="141" t="str">
        <f>IF(wskakunin_TOKUREI_TAKASA=1,"■","□")</f>
        <v>□</v>
      </c>
    </row>
    <row r="1120" spans="1:6" ht="15" customHeight="1" x14ac:dyDescent="0.15">
      <c r="A1120" s="7"/>
      <c r="B1120" s="67" t="s">
        <v>777</v>
      </c>
      <c r="D1120" s="15"/>
      <c r="E1120" s="14" t="s">
        <v>1308</v>
      </c>
      <c r="F1120" s="141" t="str">
        <f>IF(wskakunin_TOKUREI_TAKASA="","□",IF(wskakunin_TOKUREI_TAKASA=0,"■","□"))</f>
        <v>■</v>
      </c>
    </row>
    <row r="1121" spans="1:6" ht="15" customHeight="1" x14ac:dyDescent="0.15">
      <c r="A1121" s="7"/>
      <c r="B1121" s="67"/>
      <c r="D1121" s="15"/>
      <c r="F1121" s="15"/>
    </row>
    <row r="1122" spans="1:6" ht="15" customHeight="1" x14ac:dyDescent="0.15">
      <c r="A1122" s="41" t="s">
        <v>774</v>
      </c>
      <c r="B1122" s="65"/>
      <c r="D1122" s="15"/>
      <c r="F1122" s="15"/>
    </row>
    <row r="1123" spans="1:6" ht="15" customHeight="1" x14ac:dyDescent="0.15">
      <c r="A1123" s="7"/>
      <c r="B1123" s="67" t="s">
        <v>1309</v>
      </c>
      <c r="C1123" s="14" t="s">
        <v>1310</v>
      </c>
      <c r="D1123" s="141"/>
      <c r="E1123" s="14" t="s">
        <v>1311</v>
      </c>
      <c r="F1123" s="141" t="str">
        <f>IF(wskakunin_TOKUREI_TAKASA_DOURO=1,"■","□")</f>
        <v>□</v>
      </c>
    </row>
    <row r="1124" spans="1:6" ht="15" customHeight="1" x14ac:dyDescent="0.15">
      <c r="A1124" s="7"/>
      <c r="B1124" s="67" t="s">
        <v>1312</v>
      </c>
      <c r="C1124" s="14" t="s">
        <v>1313</v>
      </c>
      <c r="D1124" s="141"/>
      <c r="E1124" s="14" t="s">
        <v>1314</v>
      </c>
      <c r="F1124" s="141" t="str">
        <f>IF(wskakunin_TOKUREI_TAKASA_RINTI=1,"■","□")</f>
        <v>□</v>
      </c>
    </row>
    <row r="1125" spans="1:6" ht="15" customHeight="1" x14ac:dyDescent="0.15">
      <c r="A1125" s="7"/>
      <c r="B1125" s="67" t="s">
        <v>1315</v>
      </c>
      <c r="C1125" s="14" t="s">
        <v>1316</v>
      </c>
      <c r="D1125" s="141"/>
      <c r="E1125" s="14" t="s">
        <v>1317</v>
      </c>
      <c r="F1125" s="141" t="str">
        <f>IF(wskakunin_TOKUREI_TAKASA_KITA=1,"■","□")</f>
        <v>□</v>
      </c>
    </row>
    <row r="1126" spans="1:6" ht="15" customHeight="1" x14ac:dyDescent="0.15">
      <c r="A1126" s="8"/>
      <c r="B1126" s="68"/>
      <c r="D1126" s="15"/>
      <c r="F1126" s="15"/>
    </row>
    <row r="1127" spans="1:6" ht="15" customHeight="1" x14ac:dyDescent="0.15">
      <c r="A1127" s="83" t="s">
        <v>593</v>
      </c>
      <c r="B1127" s="92"/>
      <c r="C1127" s="14" t="s">
        <v>1381</v>
      </c>
    </row>
    <row r="1128" spans="1:6" ht="15" customHeight="1" x14ac:dyDescent="0.15">
      <c r="A1128" s="88" t="s">
        <v>1325</v>
      </c>
      <c r="B1128" s="135"/>
    </row>
    <row r="1129" spans="1:6" ht="15" customHeight="1" x14ac:dyDescent="0.15">
      <c r="A1129" s="85"/>
      <c r="B1129" s="78" t="s">
        <v>1382</v>
      </c>
      <c r="C1129" s="14" t="s">
        <v>1387</v>
      </c>
      <c r="D1129" s="213"/>
      <c r="E1129" s="14" t="s">
        <v>1405</v>
      </c>
      <c r="F1129" s="141" t="str">
        <f>IF(wskakunin_kyoka01_HOUREI="","",wskakunin_kyoka01_HOUREI)</f>
        <v/>
      </c>
    </row>
    <row r="1130" spans="1:6" ht="15" customHeight="1" x14ac:dyDescent="0.15">
      <c r="A1130" s="85"/>
      <c r="B1130" s="78" t="s">
        <v>1383</v>
      </c>
      <c r="C1130" s="14" t="s">
        <v>1386</v>
      </c>
      <c r="D1130" s="213"/>
      <c r="E1130" s="14" t="s">
        <v>2778</v>
      </c>
      <c r="F1130" s="141" t="str">
        <f>IF(wskakunin_kyoka01_JOUKOU="","",wskakunin_kyoka01_JOUKOU)</f>
        <v/>
      </c>
    </row>
    <row r="1131" spans="1:6" ht="15" customHeight="1" x14ac:dyDescent="0.15">
      <c r="A1131" s="85"/>
      <c r="B1131" s="78" t="s">
        <v>1384</v>
      </c>
      <c r="C1131" s="14" t="s">
        <v>1388</v>
      </c>
      <c r="D1131" s="213"/>
      <c r="E1131" s="14" t="s">
        <v>2779</v>
      </c>
      <c r="F1131" s="141" t="str">
        <f>IF(wskakunin_kyoka01_KYOKA_NO="","",wskakunin_kyoka01_KYOKA_NO)</f>
        <v/>
      </c>
    </row>
    <row r="1132" spans="1:6" ht="15" customHeight="1" x14ac:dyDescent="0.15">
      <c r="A1132" s="85"/>
      <c r="B1132" s="78" t="s">
        <v>1385</v>
      </c>
      <c r="C1132" s="14" t="s">
        <v>1389</v>
      </c>
      <c r="D1132" s="212"/>
      <c r="E1132" s="14" t="s">
        <v>2780</v>
      </c>
      <c r="F1132" s="141" t="str">
        <f>IF(wskakunin_kyoka01_KYOKA_DATE="","",wskakunin_kyoka01_KYOKA_DATE)</f>
        <v/>
      </c>
    </row>
    <row r="1133" spans="1:6" ht="15" customHeight="1" x14ac:dyDescent="0.15">
      <c r="A1133" s="85"/>
      <c r="B1133" s="78" t="s">
        <v>460</v>
      </c>
      <c r="C1133" s="14" t="s">
        <v>1390</v>
      </c>
      <c r="D1133" s="213"/>
      <c r="E1133" s="14" t="s">
        <v>2781</v>
      </c>
      <c r="F1133" s="141" t="str">
        <f>IF(wskakunin_kyoka01_BIKOU="","",wskakunin_kyoka01_BIKOU)</f>
        <v/>
      </c>
    </row>
    <row r="1134" spans="1:6" ht="15" customHeight="1" x14ac:dyDescent="0.15">
      <c r="A1134" s="85"/>
      <c r="B1134" s="136" t="s">
        <v>1402</v>
      </c>
      <c r="D1134" s="30"/>
      <c r="F1134" s="15"/>
    </row>
    <row r="1135" spans="1:6" ht="15" customHeight="1" x14ac:dyDescent="0.15">
      <c r="A1135" s="85"/>
      <c r="B1135" s="136"/>
      <c r="D1135" s="15"/>
      <c r="F1135" s="15"/>
    </row>
    <row r="1136" spans="1:6" ht="15" customHeight="1" x14ac:dyDescent="0.15">
      <c r="A1136" s="88" t="s">
        <v>1332</v>
      </c>
      <c r="B1136" s="135"/>
    </row>
    <row r="1137" spans="1:7" ht="15" customHeight="1" x14ac:dyDescent="0.15">
      <c r="A1137" s="85"/>
      <c r="B1137" s="78" t="s">
        <v>1382</v>
      </c>
      <c r="C1137" s="14" t="s">
        <v>1391</v>
      </c>
      <c r="D1137" s="213"/>
      <c r="E1137" s="14" t="s">
        <v>1406</v>
      </c>
      <c r="F1137" s="141" t="str">
        <f>IF(wskakunin_kyoka02_HOUREI="","",wskakunin_kyoka02_HOUREI)</f>
        <v/>
      </c>
    </row>
    <row r="1138" spans="1:7" ht="15" customHeight="1" x14ac:dyDescent="0.15">
      <c r="A1138" s="85"/>
      <c r="B1138" s="78" t="s">
        <v>1383</v>
      </c>
      <c r="C1138" s="14" t="s">
        <v>1392</v>
      </c>
      <c r="D1138" s="213"/>
      <c r="E1138" s="14" t="s">
        <v>2782</v>
      </c>
      <c r="F1138" s="141" t="str">
        <f>IF(wskakunin_kyoka02_JOUKOU="","",wskakunin_kyoka02_JOUKOU)</f>
        <v/>
      </c>
    </row>
    <row r="1139" spans="1:7" ht="15" customHeight="1" x14ac:dyDescent="0.15">
      <c r="A1139" s="85"/>
      <c r="B1139" s="78" t="s">
        <v>1384</v>
      </c>
      <c r="C1139" s="14" t="s">
        <v>1393</v>
      </c>
      <c r="D1139" s="213"/>
      <c r="E1139" s="14" t="s">
        <v>2783</v>
      </c>
      <c r="F1139" s="141" t="str">
        <f>IF(wskakunin_kyoka02_KYOKA_NO="","",wskakunin_kyoka02_KYOKA_NO)</f>
        <v/>
      </c>
    </row>
    <row r="1140" spans="1:7" ht="15" customHeight="1" x14ac:dyDescent="0.15">
      <c r="A1140" s="85"/>
      <c r="B1140" s="78" t="s">
        <v>1385</v>
      </c>
      <c r="C1140" s="14" t="s">
        <v>1394</v>
      </c>
      <c r="D1140" s="233"/>
      <c r="E1140" s="14" t="s">
        <v>2784</v>
      </c>
      <c r="F1140" s="233" t="str">
        <f>IF(wskakunin_kyoka02_KYOKA_DATE="","",wskakunin_kyoka02_KYOKA_DATE)</f>
        <v/>
      </c>
    </row>
    <row r="1141" spans="1:7" ht="15" customHeight="1" x14ac:dyDescent="0.15">
      <c r="A1141" s="85"/>
      <c r="B1141" s="78" t="s">
        <v>460</v>
      </c>
      <c r="C1141" s="14" t="s">
        <v>1395</v>
      </c>
      <c r="D1141" s="213"/>
      <c r="E1141" s="14" t="s">
        <v>2785</v>
      </c>
      <c r="F1141" s="141" t="str">
        <f>IF(wskakunin_kyoka02_BIKOU="","",wskakunin_kyoka02_BIKOU)</f>
        <v/>
      </c>
    </row>
    <row r="1142" spans="1:7" ht="15" customHeight="1" x14ac:dyDescent="0.15">
      <c r="A1142" s="85"/>
      <c r="B1142" s="136" t="s">
        <v>1404</v>
      </c>
      <c r="D1142" s="30"/>
      <c r="F1142" s="15"/>
    </row>
    <row r="1143" spans="1:7" ht="15" customHeight="1" x14ac:dyDescent="0.15">
      <c r="A1143" s="137"/>
      <c r="B1143" s="136"/>
      <c r="D1143" s="15"/>
      <c r="F1143" s="15"/>
    </row>
    <row r="1144" spans="1:7" ht="15" customHeight="1" x14ac:dyDescent="0.15">
      <c r="A1144" s="88" t="s">
        <v>1336</v>
      </c>
      <c r="B1144" s="135"/>
    </row>
    <row r="1145" spans="1:7" ht="15" customHeight="1" x14ac:dyDescent="0.15">
      <c r="A1145" s="85"/>
      <c r="B1145" s="78" t="s">
        <v>1382</v>
      </c>
      <c r="C1145" s="14" t="s">
        <v>1396</v>
      </c>
      <c r="D1145" s="213"/>
      <c r="E1145" s="14" t="s">
        <v>1407</v>
      </c>
      <c r="F1145" s="141" t="str">
        <f>IF(wskakunin_kyoka03_HOUREI="","",wskakunin_kyoka03_HOUREI)</f>
        <v/>
      </c>
    </row>
    <row r="1146" spans="1:7" ht="15" customHeight="1" x14ac:dyDescent="0.15">
      <c r="A1146" s="85"/>
      <c r="B1146" s="78" t="s">
        <v>1383</v>
      </c>
      <c r="C1146" s="14" t="s">
        <v>1397</v>
      </c>
      <c r="D1146" s="213"/>
      <c r="E1146" s="14" t="s">
        <v>2786</v>
      </c>
      <c r="F1146" s="141" t="str">
        <f>IF(wskakunin_kyoka03_JOUKOU="","",wskakunin_kyoka03_JOUKOU)</f>
        <v/>
      </c>
    </row>
    <row r="1147" spans="1:7" ht="15" customHeight="1" x14ac:dyDescent="0.15">
      <c r="A1147" s="85"/>
      <c r="B1147" s="78" t="s">
        <v>1384</v>
      </c>
      <c r="C1147" s="14" t="s">
        <v>1398</v>
      </c>
      <c r="D1147" s="213"/>
      <c r="E1147" s="14" t="s">
        <v>2787</v>
      </c>
      <c r="F1147" s="141" t="str">
        <f>IF(wskakunin_kyoka03_KYOKA_NO="","",wskakunin_kyoka03_KYOKA_NO)</f>
        <v/>
      </c>
    </row>
    <row r="1148" spans="1:7" ht="15" customHeight="1" x14ac:dyDescent="0.15">
      <c r="A1148" s="85"/>
      <c r="B1148" s="78" t="s">
        <v>1385</v>
      </c>
      <c r="C1148" s="14" t="s">
        <v>1399</v>
      </c>
      <c r="D1148" s="233"/>
      <c r="E1148" s="14" t="s">
        <v>2788</v>
      </c>
      <c r="F1148" s="233" t="str">
        <f>IF(wskakunin_kyoka03_KYOKA_DATE="","",wskakunin_kyoka03_KYOKA_DATE)</f>
        <v/>
      </c>
    </row>
    <row r="1149" spans="1:7" ht="15" customHeight="1" x14ac:dyDescent="0.15">
      <c r="A1149" s="85"/>
      <c r="B1149" s="78" t="s">
        <v>460</v>
      </c>
      <c r="C1149" s="14" t="s">
        <v>1400</v>
      </c>
      <c r="D1149" s="213"/>
      <c r="E1149" s="14" t="s">
        <v>2789</v>
      </c>
      <c r="F1149" s="141" t="str">
        <f>IF(wskakunin_kyoka03_BIKOU="","",wskakunin_kyoka03_BIKOU)</f>
        <v/>
      </c>
    </row>
    <row r="1150" spans="1:7" ht="15" customHeight="1" x14ac:dyDescent="0.15">
      <c r="A1150" s="85"/>
      <c r="B1150" s="136" t="s">
        <v>1403</v>
      </c>
      <c r="D1150" s="30"/>
      <c r="F1150" s="15"/>
    </row>
    <row r="1151" spans="1:7" ht="15" customHeight="1" x14ac:dyDescent="0.15">
      <c r="A1151" s="137"/>
      <c r="B1151" s="78"/>
      <c r="D1151" s="15"/>
      <c r="F1151" s="15"/>
    </row>
    <row r="1152" spans="1:7" ht="15" customHeight="1" x14ac:dyDescent="0.15">
      <c r="A1152" s="85" t="s">
        <v>1401</v>
      </c>
      <c r="B1152" s="134"/>
      <c r="D1152" s="15"/>
      <c r="E1152" s="14" t="s">
        <v>1408</v>
      </c>
      <c r="F1152" s="141" t="str">
        <f>cst_wskakunin_kyoka01_HOUREI&amp;IF(cst_wskakunin_kyoka02_HOUREI&lt;&gt;"",CHAR(10)&amp;cst_wskakunin_kyoka02_HOUREI,cst_wskakunin_kyoka02_HOUREI)&amp;IF(cst_wskakunin_kyoka03_HOUREI&lt;&gt;"",CHAR(10)&amp;cst_wskakunin_kyoka03_HOUREI,cst_wskakunin_kyoka03_HOUREI)</f>
        <v/>
      </c>
      <c r="G1152" s="14" t="s">
        <v>1409</v>
      </c>
    </row>
    <row r="1153" spans="1:8" ht="15" customHeight="1" x14ac:dyDescent="0.15">
      <c r="A1153" s="87"/>
      <c r="B1153" s="93"/>
      <c r="D1153" s="15"/>
      <c r="F1153" s="15"/>
    </row>
    <row r="1154" spans="1:8" ht="15" customHeight="1" x14ac:dyDescent="0.15">
      <c r="A1154" s="83" t="s">
        <v>1318</v>
      </c>
      <c r="B1154" s="92"/>
      <c r="C1154" s="14" t="s">
        <v>1319</v>
      </c>
      <c r="D1154" s="233">
        <v>45703</v>
      </c>
      <c r="E1154" s="14" t="s">
        <v>1320</v>
      </c>
      <c r="F1154" s="233">
        <f>IF(wskakunin_KOUJI_TYAKUSYU_YOTEI_DATE="", "", wskakunin_KOUJI_TYAKUSYU_YOTEI_DATE)</f>
        <v>45703</v>
      </c>
    </row>
    <row r="1155" spans="1:8" ht="15" customHeight="1" x14ac:dyDescent="0.15">
      <c r="A1155" s="87"/>
      <c r="B1155" s="93"/>
      <c r="D1155" s="15"/>
      <c r="F1155" s="15"/>
    </row>
    <row r="1156" spans="1:8" ht="15" customHeight="1" x14ac:dyDescent="0.15">
      <c r="A1156" s="83" t="s">
        <v>1321</v>
      </c>
      <c r="B1156" s="92"/>
      <c r="C1156" s="14" t="s">
        <v>1322</v>
      </c>
      <c r="D1156" s="233">
        <v>45899</v>
      </c>
      <c r="E1156" s="14" t="s">
        <v>1323</v>
      </c>
      <c r="F1156" s="233">
        <f>IF(wskakunin_KOUJI_KANRYOU_YOTEI_DATE="", "", wskakunin_KOUJI_KANRYOU_YOTEI_DATE)</f>
        <v>45899</v>
      </c>
    </row>
    <row r="1157" spans="1:8" ht="15" customHeight="1" x14ac:dyDescent="0.15">
      <c r="A1157" s="87"/>
      <c r="B1157" s="93"/>
      <c r="D1157" s="15"/>
      <c r="F1157" s="15"/>
    </row>
    <row r="1158" spans="1:8" ht="15" customHeight="1" x14ac:dyDescent="0.15">
      <c r="A1158" s="44"/>
      <c r="B1158" s="45" t="s">
        <v>754</v>
      </c>
      <c r="E1158" s="14" t="s">
        <v>2557</v>
      </c>
      <c r="F1158" s="40">
        <f>IF(OR(wskakunin_KOUJI_TYAKUSYU_YOTEI_DATE="",wskakunin_KOUJI_KANRYOU_YOTEI_DATE=""),"",IF(DATEDIF(wskakunin_KOUJI_TYAKUSYU_YOTEI_DATE,wskakunin_KOUJI_KANRYOU_YOTEI_DATE,"D")&lt;=44,0,DATEDIF(wskakunin_KOUJI_TYAKUSYU_YOTEI_DATE,wskakunin_KOUJI_KANRYOU_YOTEI_DATE+16,"Y")))</f>
        <v>0</v>
      </c>
      <c r="G1158" s="15"/>
      <c r="H1158" s="15"/>
    </row>
    <row r="1159" spans="1:8" ht="15" customHeight="1" x14ac:dyDescent="0.15">
      <c r="A1159" s="46"/>
      <c r="B1159" s="62" t="s">
        <v>755</v>
      </c>
      <c r="E1159" s="14" t="s">
        <v>2558</v>
      </c>
      <c r="F1159" s="40">
        <f>IF(OR(wskakunin_KOUJI_TYAKUSYU_YOTEI_DATE="",wskakunin_KOUJI_KANRYOU_YOTEI_DATE=""),"",IF(DATEDIF(wskakunin_KOUJI_TYAKUSYU_YOTEI_DATE,wskakunin_KOUJI_KANRYOU_YOTEI_DATE,"D")&lt;=44,1,DATEDIF(wskakunin_KOUJI_TYAKUSYU_YOTEI_DATE,wskakunin_KOUJI_KANRYOU_YOTEI_DATE+16,"YM")))</f>
        <v>7</v>
      </c>
      <c r="G1159" s="15"/>
      <c r="H1159" s="15"/>
    </row>
    <row r="1160" spans="1:8" ht="15" customHeight="1" x14ac:dyDescent="0.15">
      <c r="A1160" s="47"/>
      <c r="B1160" s="59"/>
      <c r="G1160" s="15"/>
      <c r="H1160" s="15"/>
    </row>
    <row r="1161" spans="1:8" ht="15" customHeight="1" x14ac:dyDescent="0.15">
      <c r="G1161" s="15"/>
      <c r="H1161" s="15"/>
    </row>
    <row r="1162" spans="1:8" ht="15" customHeight="1" x14ac:dyDescent="0.15">
      <c r="A1162" s="84" t="s">
        <v>1324</v>
      </c>
      <c r="B1162" s="105"/>
    </row>
    <row r="1163" spans="1:8" ht="15" customHeight="1" x14ac:dyDescent="0.15">
      <c r="A1163" s="88" t="s">
        <v>1325</v>
      </c>
      <c r="B1163" s="106"/>
    </row>
    <row r="1164" spans="1:8" ht="15" customHeight="1" x14ac:dyDescent="0.15">
      <c r="A1164" s="86"/>
      <c r="B1164" s="78" t="s">
        <v>779</v>
      </c>
      <c r="C1164" s="14" t="s">
        <v>1326</v>
      </c>
      <c r="D1164" s="141">
        <v>1</v>
      </c>
      <c r="E1164" s="14" t="s">
        <v>1327</v>
      </c>
      <c r="F1164" s="141">
        <f>IF(wskakunin_koutei01_KOUTEI_KAISUU="","",wskakunin_koutei01_KOUTEI_KAISUU)</f>
        <v>1</v>
      </c>
    </row>
    <row r="1165" spans="1:8" ht="15" customHeight="1" x14ac:dyDescent="0.15">
      <c r="A1165" s="86"/>
      <c r="B1165" s="78" t="s">
        <v>780</v>
      </c>
      <c r="C1165" s="14" t="s">
        <v>1328</v>
      </c>
      <c r="D1165" s="233">
        <v>45736</v>
      </c>
      <c r="E1165" s="14" t="s">
        <v>1329</v>
      </c>
      <c r="F1165" s="233">
        <f>IF(wskakunin_koutei01_KOUTEI_DATE="","",wskakunin_koutei01_KOUTEI_DATE)</f>
        <v>45736</v>
      </c>
    </row>
    <row r="1166" spans="1:8" ht="15" customHeight="1" x14ac:dyDescent="0.15">
      <c r="A1166" s="86"/>
      <c r="B1166" s="78" t="s">
        <v>705</v>
      </c>
      <c r="C1166" s="14" t="s">
        <v>1330</v>
      </c>
      <c r="D1166" s="141" t="s">
        <v>3466</v>
      </c>
      <c r="E1166" s="14" t="s">
        <v>1331</v>
      </c>
      <c r="F1166" s="141" t="str">
        <f>IF(wskakunin_koutei01_KOUTEI_TEXT="","",wskakunin_koutei01_KOUTEI_TEXT)</f>
        <v>軸組みの工事及び当該軸組の部材を緊結する工事</v>
      </c>
    </row>
    <row r="1167" spans="1:8" ht="15" customHeight="1" x14ac:dyDescent="0.15">
      <c r="A1167" s="89"/>
      <c r="B1167" s="78"/>
      <c r="D1167" s="15"/>
      <c r="F1167" s="15"/>
    </row>
    <row r="1168" spans="1:8" ht="15" customHeight="1" x14ac:dyDescent="0.15">
      <c r="A1168" s="88" t="s">
        <v>1332</v>
      </c>
      <c r="B1168" s="106"/>
    </row>
    <row r="1169" spans="1:6" ht="15" customHeight="1" x14ac:dyDescent="0.15">
      <c r="A1169" s="86"/>
      <c r="B1169" s="78" t="s">
        <v>779</v>
      </c>
      <c r="C1169" s="14" t="s">
        <v>1333</v>
      </c>
      <c r="D1169" s="141"/>
      <c r="E1169" s="14" t="s">
        <v>614</v>
      </c>
      <c r="F1169" s="141" t="str">
        <f>IF(wskakunin_koutei02_KOUTEI_KAISUU="","",wskakunin_koutei02_KOUTEI_KAISUU)</f>
        <v/>
      </c>
    </row>
    <row r="1170" spans="1:6" ht="15" customHeight="1" x14ac:dyDescent="0.15">
      <c r="A1170" s="86"/>
      <c r="B1170" s="78" t="s">
        <v>780</v>
      </c>
      <c r="C1170" s="14" t="s">
        <v>1334</v>
      </c>
      <c r="D1170" s="233"/>
      <c r="E1170" s="14" t="s">
        <v>615</v>
      </c>
      <c r="F1170" s="233" t="str">
        <f>IF(wskakunin_koutei02_KOUTEI_DATE="","",wskakunin_koutei02_KOUTEI_DATE)</f>
        <v/>
      </c>
    </row>
    <row r="1171" spans="1:6" ht="15" customHeight="1" x14ac:dyDescent="0.15">
      <c r="A1171" s="86"/>
      <c r="B1171" s="78" t="s">
        <v>705</v>
      </c>
      <c r="C1171" s="14" t="s">
        <v>1335</v>
      </c>
      <c r="D1171" s="141"/>
      <c r="E1171" s="14" t="s">
        <v>616</v>
      </c>
      <c r="F1171" s="141" t="str">
        <f>IF(wskakunin_koutei02_KOUTEI_TEXT="","",wskakunin_koutei02_KOUTEI_TEXT)</f>
        <v/>
      </c>
    </row>
    <row r="1172" spans="1:6" ht="15" customHeight="1" x14ac:dyDescent="0.15">
      <c r="A1172" s="90"/>
      <c r="B1172" s="78"/>
      <c r="D1172" s="15"/>
      <c r="F1172" s="15"/>
    </row>
    <row r="1173" spans="1:6" ht="15" customHeight="1" x14ac:dyDescent="0.15">
      <c r="A1173" s="85" t="s">
        <v>1336</v>
      </c>
      <c r="B1173" s="40"/>
    </row>
    <row r="1174" spans="1:6" ht="15" customHeight="1" x14ac:dyDescent="0.15">
      <c r="A1174" s="86"/>
      <c r="B1174" s="78" t="s">
        <v>779</v>
      </c>
      <c r="C1174" s="14" t="s">
        <v>1337</v>
      </c>
      <c r="D1174" s="141"/>
      <c r="E1174" s="14" t="s">
        <v>1338</v>
      </c>
      <c r="F1174" s="141" t="str">
        <f>IF(wskakunin_koutei03_KOUTEI_KAISUU="","",wskakunin_koutei03_KOUTEI_KAISUU)</f>
        <v/>
      </c>
    </row>
    <row r="1175" spans="1:6" ht="15" customHeight="1" x14ac:dyDescent="0.15">
      <c r="A1175" s="86"/>
      <c r="B1175" s="78" t="s">
        <v>780</v>
      </c>
      <c r="C1175" s="14" t="s">
        <v>1339</v>
      </c>
      <c r="D1175" s="233"/>
      <c r="E1175" s="14" t="s">
        <v>1340</v>
      </c>
      <c r="F1175" s="233" t="str">
        <f>IF(wskakunin_koutei03_KOUTEI_DATE="","",wskakunin_koutei03_KOUTEI_DATE)</f>
        <v/>
      </c>
    </row>
    <row r="1176" spans="1:6" ht="15" customHeight="1" x14ac:dyDescent="0.15">
      <c r="A1176" s="86"/>
      <c r="B1176" s="78" t="s">
        <v>705</v>
      </c>
      <c r="C1176" s="14" t="s">
        <v>1341</v>
      </c>
      <c r="D1176" s="141"/>
      <c r="E1176" s="14" t="s">
        <v>1342</v>
      </c>
      <c r="F1176" s="141" t="str">
        <f>IF(wskakunin_koutei03_KOUTEI_TEXT="","",wskakunin_koutei03_KOUTEI_TEXT)</f>
        <v/>
      </c>
    </row>
    <row r="1177" spans="1:6" ht="15" customHeight="1" x14ac:dyDescent="0.15">
      <c r="A1177" s="90"/>
      <c r="B1177" s="78"/>
      <c r="D1177" s="15"/>
      <c r="F1177" s="15"/>
    </row>
    <row r="1178" spans="1:6" ht="15" customHeight="1" x14ac:dyDescent="0.15">
      <c r="A1178" s="85" t="s">
        <v>2520</v>
      </c>
      <c r="B1178" s="40"/>
    </row>
    <row r="1179" spans="1:6" ht="15" customHeight="1" x14ac:dyDescent="0.15">
      <c r="A1179" s="86"/>
      <c r="B1179" s="78" t="s">
        <v>779</v>
      </c>
      <c r="C1179" s="14" t="s">
        <v>2763</v>
      </c>
      <c r="D1179" s="141"/>
      <c r="E1179" s="14" t="s">
        <v>2828</v>
      </c>
      <c r="F1179" s="141" t="str">
        <f>IF(wskakunin_koutei04_KOUTEI_KAISUU="","",wskakunin_koutei04_KOUTEI_KAISUU)</f>
        <v/>
      </c>
    </row>
    <row r="1180" spans="1:6" ht="15" customHeight="1" x14ac:dyDescent="0.15">
      <c r="A1180" s="86"/>
      <c r="B1180" s="78" t="s">
        <v>780</v>
      </c>
      <c r="C1180" s="14" t="s">
        <v>2764</v>
      </c>
      <c r="D1180" s="233"/>
      <c r="E1180" s="14" t="s">
        <v>2829</v>
      </c>
      <c r="F1180" s="233" t="str">
        <f>IF(wskakunin_koutei04_KOUTEI_DATE="","",wskakunin_koutei04_KOUTEI_DATE)</f>
        <v/>
      </c>
    </row>
    <row r="1181" spans="1:6" ht="15" customHeight="1" x14ac:dyDescent="0.15">
      <c r="A1181" s="86"/>
      <c r="B1181" s="78" t="s">
        <v>705</v>
      </c>
      <c r="C1181" s="14" t="s">
        <v>2765</v>
      </c>
      <c r="D1181" s="141"/>
      <c r="E1181" s="14" t="s">
        <v>2830</v>
      </c>
      <c r="F1181" s="141" t="str">
        <f>IF(wskakunin_koutei04_KOUTEI_TEXT="","",wskakunin_koutei04_KOUTEI_TEXT)</f>
        <v/>
      </c>
    </row>
    <row r="1182" spans="1:6" ht="15" customHeight="1" x14ac:dyDescent="0.15">
      <c r="A1182" s="91"/>
      <c r="B1182" s="238"/>
      <c r="D1182" s="15"/>
      <c r="F1182" s="15"/>
    </row>
    <row r="1183" spans="1:6" ht="15" customHeight="1" x14ac:dyDescent="0.15">
      <c r="A1183" s="86" t="s">
        <v>2940</v>
      </c>
      <c r="B1183" s="239"/>
      <c r="C1183" s="14" t="s">
        <v>2941</v>
      </c>
      <c r="D1183" s="141">
        <v>0</v>
      </c>
      <c r="E1183" s="14" t="s">
        <v>2942</v>
      </c>
      <c r="F1183" s="15">
        <f>IF(wskakunin_KITEI_CHOUSA_FLAG="","",wskakunin_KITEI_CHOUSA_FLAG)</f>
        <v>0</v>
      </c>
    </row>
    <row r="1184" spans="1:6" ht="15" customHeight="1" x14ac:dyDescent="0.15">
      <c r="A1184" s="86"/>
      <c r="B1184" s="78" t="s">
        <v>776</v>
      </c>
      <c r="D1184" s="15"/>
      <c r="E1184" s="14" t="s">
        <v>2943</v>
      </c>
      <c r="F1184" s="15" t="str">
        <f>IF(wskakunin_KITEI_CHOUSA_FLAG=1,"■","□")</f>
        <v>□</v>
      </c>
    </row>
    <row r="1185" spans="1:6" ht="15" customHeight="1" x14ac:dyDescent="0.15">
      <c r="A1185" s="91"/>
      <c r="B1185" s="78" t="s">
        <v>777</v>
      </c>
      <c r="D1185" s="15"/>
      <c r="E1185" s="14" t="s">
        <v>2944</v>
      </c>
      <c r="F1185" s="15" t="str">
        <f>IF(wskakunin_KITEI_CHOUSA_FLAG="","□",IF(wskakunin_KITEI_CHOUSA_FLAG=0,"■","□"))</f>
        <v>■</v>
      </c>
    </row>
    <row r="1186" spans="1:6" ht="15" customHeight="1" x14ac:dyDescent="0.15">
      <c r="A1186" s="86" t="s">
        <v>2835</v>
      </c>
      <c r="B1186" s="239"/>
      <c r="C1186" s="14" t="s">
        <v>2836</v>
      </c>
      <c r="D1186" s="141">
        <v>0</v>
      </c>
      <c r="E1186" s="14" t="s">
        <v>2837</v>
      </c>
      <c r="F1186" s="141">
        <f>IF(wskakunin_BOUKA_SETUBI_FLAG="","",wskakunin_BOUKA_SETUBI_FLAG)</f>
        <v>0</v>
      </c>
    </row>
    <row r="1187" spans="1:6" ht="15" customHeight="1" x14ac:dyDescent="0.15">
      <c r="A1187" s="86"/>
      <c r="B1187" s="78" t="s">
        <v>776</v>
      </c>
      <c r="D1187" s="15"/>
      <c r="E1187" s="14" t="s">
        <v>2838</v>
      </c>
      <c r="F1187" s="141" t="str">
        <f>IF(wskakunin_BOUKA_SETUBI_FLAG=1,"■","□")</f>
        <v>□</v>
      </c>
    </row>
    <row r="1188" spans="1:6" ht="15" customHeight="1" x14ac:dyDescent="0.15">
      <c r="A1188" s="86"/>
      <c r="B1188" s="78" t="s">
        <v>777</v>
      </c>
      <c r="D1188" s="15"/>
      <c r="E1188" s="14" t="s">
        <v>2839</v>
      </c>
      <c r="F1188" s="141" t="str">
        <f>IF(wskakunin_BOUKA_SETUBI_FLAG="","□",IF(wskakunin_BOUKA_SETUBI_FLAG=0,"■","□"))</f>
        <v>■</v>
      </c>
    </row>
    <row r="1189" spans="1:6" ht="15" customHeight="1" x14ac:dyDescent="0.15">
      <c r="A1189" s="86"/>
      <c r="B1189" s="134"/>
      <c r="D1189" s="15"/>
      <c r="F1189" s="15"/>
    </row>
    <row r="1190" spans="1:6" ht="15" customHeight="1" x14ac:dyDescent="0.15">
      <c r="A1190" s="26" t="s">
        <v>1343</v>
      </c>
      <c r="B1190" s="92"/>
      <c r="C1190" s="14" t="s">
        <v>1344</v>
      </c>
      <c r="D1190" s="141"/>
      <c r="E1190" s="14" t="s">
        <v>1345</v>
      </c>
      <c r="F1190" s="141" t="str">
        <f>IF(wskakunin_P3_SONOTA="","",wskakunin_P3_SONOTA)</f>
        <v/>
      </c>
    </row>
    <row r="1191" spans="1:6" ht="15" customHeight="1" x14ac:dyDescent="0.15">
      <c r="A1191" s="27"/>
      <c r="B1191" s="93"/>
      <c r="D1191" s="15"/>
      <c r="F1191" s="15"/>
    </row>
    <row r="1192" spans="1:6" ht="15" customHeight="1" x14ac:dyDescent="0.15">
      <c r="A1192" s="94" t="s">
        <v>594</v>
      </c>
      <c r="B1192" s="95"/>
      <c r="C1192" s="14" t="s">
        <v>1346</v>
      </c>
      <c r="D1192" s="141"/>
      <c r="E1192" s="14" t="s">
        <v>1347</v>
      </c>
      <c r="F1192" s="141" t="str">
        <f>IF(wskakunin_P3_BIKOU="","",wskakunin_P3_BIKOU)</f>
        <v/>
      </c>
    </row>
    <row r="1193" spans="1:6" ht="15" customHeight="1" x14ac:dyDescent="0.15">
      <c r="A1193" s="47"/>
      <c r="B1193" s="59"/>
    </row>
    <row r="1196" spans="1:6" ht="15" customHeight="1" x14ac:dyDescent="0.15">
      <c r="A1196" s="165" t="s">
        <v>1348</v>
      </c>
      <c r="B1196" s="102" t="s">
        <v>88</v>
      </c>
    </row>
    <row r="1197" spans="1:6" ht="15" customHeight="1" x14ac:dyDescent="0.15">
      <c r="A1197" s="84" t="s">
        <v>787</v>
      </c>
      <c r="B1197" s="105"/>
    </row>
    <row r="1198" spans="1:6" ht="15" customHeight="1" x14ac:dyDescent="0.15">
      <c r="A1198" s="166" t="s">
        <v>786</v>
      </c>
      <c r="B1198" s="106"/>
    </row>
    <row r="1199" spans="1:6" ht="15" customHeight="1" x14ac:dyDescent="0.15">
      <c r="A1199" s="46"/>
      <c r="B1199" s="70" t="s">
        <v>2398</v>
      </c>
      <c r="E1199" s="30" t="s">
        <v>2399</v>
      </c>
      <c r="F1199" s="40" t="str">
        <f>IF(wskakunin_TOKUREI_1="1","第１号",IF(wskakunin_TOKUREI_2="1","第２号",IF(wskakunin_TOKUREI_3="1","第３号",IF(wskakunin_TOKUREI_4="1","第４号",""))))</f>
        <v/>
      </c>
    </row>
    <row r="1200" spans="1:6" ht="15" customHeight="1" x14ac:dyDescent="0.15">
      <c r="A1200" s="46"/>
      <c r="B1200" s="69" t="s">
        <v>782</v>
      </c>
      <c r="C1200" s="30" t="s">
        <v>1410</v>
      </c>
      <c r="D1200" s="214"/>
    </row>
    <row r="1201" spans="1:7" ht="15" customHeight="1" x14ac:dyDescent="0.15">
      <c r="A1201" s="46"/>
      <c r="B1201" s="69" t="s">
        <v>783</v>
      </c>
      <c r="C1201" s="30" t="s">
        <v>1411</v>
      </c>
      <c r="D1201" s="214"/>
    </row>
    <row r="1202" spans="1:7" ht="15" customHeight="1" x14ac:dyDescent="0.15">
      <c r="A1202" s="46"/>
      <c r="B1202" s="69" t="s">
        <v>784</v>
      </c>
      <c r="C1202" s="30" t="s">
        <v>1412</v>
      </c>
      <c r="D1202" s="214"/>
    </row>
    <row r="1203" spans="1:7" ht="15" customHeight="1" x14ac:dyDescent="0.15">
      <c r="A1203" s="46"/>
      <c r="B1203" s="69" t="s">
        <v>785</v>
      </c>
      <c r="C1203" s="30" t="s">
        <v>1413</v>
      </c>
      <c r="D1203" s="214"/>
    </row>
    <row r="1204" spans="1:7" ht="15" customHeight="1" x14ac:dyDescent="0.15">
      <c r="A1204" s="167"/>
      <c r="B1204" s="70"/>
    </row>
    <row r="1205" spans="1:7" ht="15" customHeight="1" x14ac:dyDescent="0.15">
      <c r="A1205" s="44" t="s">
        <v>788</v>
      </c>
      <c r="B1205" s="45"/>
      <c r="C1205" s="14" t="s">
        <v>1414</v>
      </c>
      <c r="D1205" s="214"/>
      <c r="E1205" s="14" t="s">
        <v>2407</v>
      </c>
      <c r="F1205" s="40" t="str">
        <f>IF(wskakunin_KENTIKU_NINSYO_NO="","",wskakunin_KENTIKU_NINSYO_NO)</f>
        <v/>
      </c>
    </row>
    <row r="1206" spans="1:7" ht="15" customHeight="1" x14ac:dyDescent="0.15">
      <c r="A1206" s="47"/>
      <c r="B1206" s="59"/>
    </row>
    <row r="1207" spans="1:7" ht="15" customHeight="1" x14ac:dyDescent="0.15">
      <c r="A1207" s="168" t="s">
        <v>789</v>
      </c>
      <c r="B1207" s="45"/>
      <c r="C1207" s="14" t="s">
        <v>2408</v>
      </c>
      <c r="D1207" s="236"/>
      <c r="E1207" s="14" t="s">
        <v>2424</v>
      </c>
      <c r="F1207" s="236" t="str">
        <f ca="1">IF(chk_JOB_KIND_kakunin=1,"",IF(wskakunin_KOUJI_TYAKUSYU_DATE="","",wskakunin_KOUJI_TYAKUSYU_DATE))</f>
        <v/>
      </c>
      <c r="G1207" s="14" t="s">
        <v>2410</v>
      </c>
    </row>
    <row r="1208" spans="1:7" ht="15" customHeight="1" x14ac:dyDescent="0.15">
      <c r="A1208" s="169"/>
      <c r="B1208" s="59"/>
      <c r="D1208" s="101"/>
    </row>
    <row r="1209" spans="1:7" ht="15" customHeight="1" x14ac:dyDescent="0.15">
      <c r="A1209" s="168" t="s">
        <v>2820</v>
      </c>
      <c r="B1209" s="45"/>
      <c r="D1209" s="101"/>
    </row>
    <row r="1210" spans="1:7" ht="15" customHeight="1" x14ac:dyDescent="0.15">
      <c r="A1210" s="33"/>
      <c r="B1210" s="70" t="s">
        <v>2819</v>
      </c>
      <c r="D1210" s="101"/>
      <c r="E1210" s="14" t="s">
        <v>2821</v>
      </c>
      <c r="F1210" s="236" t="str">
        <f ca="1">IF(chk_JOB_KIND_kakunin=1,"",IF(wskakunin_KOUJI_KANRYOU_YOTEI_DATE="","",wskakunin_KOUJI_KANRYOU_YOTEI_DATE))</f>
        <v/>
      </c>
    </row>
    <row r="1211" spans="1:7" ht="15" customHeight="1" x14ac:dyDescent="0.15">
      <c r="A1211" s="168" t="s">
        <v>790</v>
      </c>
      <c r="B1211" s="45"/>
    </row>
    <row r="1212" spans="1:7" ht="15" customHeight="1" x14ac:dyDescent="0.15">
      <c r="A1212" s="46"/>
      <c r="B1212" s="69" t="s">
        <v>708</v>
      </c>
      <c r="C1212" s="14" t="s">
        <v>1435</v>
      </c>
      <c r="D1212" s="214"/>
      <c r="E1212" s="14" t="s">
        <v>2426</v>
      </c>
      <c r="F1212" s="40" t="str">
        <f>IF(wskakunin_TOKUTEI_KOUTEI="","",wskakunin_TOKUTEI_KOUTEI)</f>
        <v/>
      </c>
      <c r="G1212" s="14" t="s">
        <v>2412</v>
      </c>
    </row>
    <row r="1213" spans="1:7" ht="15" customHeight="1" x14ac:dyDescent="0.15">
      <c r="A1213" s="46"/>
      <c r="B1213" s="70" t="s">
        <v>2413</v>
      </c>
      <c r="E1213" s="14" t="s">
        <v>2427</v>
      </c>
      <c r="F1213" s="40" t="str">
        <f ca="1">IF(chk_JOB_KIND_kakunin=1,IF(wskakunin_koutei01_KOUTEI_TEXT="","",wskakunin_koutei01_KOUTEI_TEXT),cst_wskakunin_TOKUTEI_KOUTEI)</f>
        <v>軸組みの工事及び当該軸組の部材を緊結する工事</v>
      </c>
    </row>
    <row r="1214" spans="1:7" ht="15" customHeight="1" x14ac:dyDescent="0.15">
      <c r="A1214" s="46"/>
      <c r="B1214" s="70" t="s">
        <v>2414</v>
      </c>
      <c r="E1214" s="14" t="s">
        <v>2428</v>
      </c>
      <c r="F1214" s="40" t="str">
        <f ca="1">IF(chk_JOB_KIND_kakunin=1,IF(wskakunin_koutei02_KOUTEI_TEXT="","",wskakunin_koutei02_KOUTEI_TEXT),cst_wskakunin_TOKUTEI_KOUTEI)</f>
        <v/>
      </c>
    </row>
    <row r="1215" spans="1:7" ht="15" customHeight="1" x14ac:dyDescent="0.15">
      <c r="A1215" s="46"/>
      <c r="B1215" s="69" t="s">
        <v>791</v>
      </c>
      <c r="C1215" s="14" t="s">
        <v>1436</v>
      </c>
      <c r="D1215" s="236"/>
      <c r="E1215" s="14" t="s">
        <v>2429</v>
      </c>
      <c r="F1215" s="236" t="str">
        <f ca="1">IF(chk_JOB_KIND_kakunin=1,"",IF(wskakunin_TOKUTEI_KOUJI_KANRYOU_DATE="","",wskakunin_TOKUTEI_KOUJI_KANRYOU_DATE))</f>
        <v/>
      </c>
      <c r="G1215" s="14" t="s">
        <v>2410</v>
      </c>
    </row>
    <row r="1216" spans="1:7" ht="15" customHeight="1" x14ac:dyDescent="0.15">
      <c r="A1216" s="46"/>
      <c r="B1216" s="69"/>
      <c r="D1216" s="101"/>
    </row>
    <row r="1217" spans="1:7" ht="15" customHeight="1" x14ac:dyDescent="0.15">
      <c r="A1217" s="46"/>
      <c r="B1217" s="69" t="s">
        <v>792</v>
      </c>
      <c r="C1217" s="14" t="s">
        <v>1437</v>
      </c>
      <c r="D1217" s="235"/>
      <c r="E1217" s="14" t="s">
        <v>2430</v>
      </c>
      <c r="F1217" s="40" t="str">
        <f ca="1">IF(chk_JOB_KIND_kakunin=1,"",IF(wskakunin_KENSA_YUKA_MENSEKI="","",wskakunin_KENSA_YUKA_MENSEKI))</f>
        <v/>
      </c>
      <c r="G1217" s="14" t="s">
        <v>2410</v>
      </c>
    </row>
    <row r="1218" spans="1:7" ht="15" customHeight="1" x14ac:dyDescent="0.15">
      <c r="A1218" s="47"/>
      <c r="B1218" s="71"/>
    </row>
    <row r="1219" spans="1:7" ht="15" customHeight="1" x14ac:dyDescent="0.15">
      <c r="A1219" s="168" t="s">
        <v>793</v>
      </c>
      <c r="B1219" s="45"/>
    </row>
    <row r="1220" spans="1:7" ht="15" customHeight="1" x14ac:dyDescent="0.15">
      <c r="A1220" s="181" t="s">
        <v>1325</v>
      </c>
      <c r="B1220" s="106"/>
    </row>
    <row r="1221" spans="1:7" ht="15" customHeight="1" x14ac:dyDescent="0.15">
      <c r="A1221" s="182"/>
      <c r="B1221" s="70" t="s">
        <v>779</v>
      </c>
      <c r="C1221" s="14" t="s">
        <v>1438</v>
      </c>
      <c r="D1221" s="214"/>
      <c r="E1221" s="14" t="s">
        <v>2431</v>
      </c>
      <c r="F1221" s="40" t="str">
        <f>IF(wskakunin_koutei_izen01_KOUTEI_KAISUU="","",wskakunin_koutei_izen01_KOUTEI_KAISUU)</f>
        <v/>
      </c>
    </row>
    <row r="1222" spans="1:7" ht="15" customHeight="1" x14ac:dyDescent="0.15">
      <c r="A1222" s="182"/>
      <c r="B1222" s="69" t="s">
        <v>708</v>
      </c>
      <c r="C1222" s="14" t="s">
        <v>1439</v>
      </c>
      <c r="D1222" s="214"/>
      <c r="E1222" s="14" t="s">
        <v>2432</v>
      </c>
      <c r="F1222" s="40" t="str">
        <f>IF(wskakunin_koutei_izen01_KOUTEI_TEXT="","",wskakunin_koutei_izen01_KOUTEI_TEXT)</f>
        <v/>
      </c>
    </row>
    <row r="1223" spans="1:7" ht="15" customHeight="1" x14ac:dyDescent="0.15">
      <c r="A1223" s="182"/>
      <c r="B1223" s="111" t="s">
        <v>794</v>
      </c>
      <c r="C1223" s="14" t="s">
        <v>1440</v>
      </c>
      <c r="D1223" s="214"/>
      <c r="E1223" s="14" t="s">
        <v>2433</v>
      </c>
      <c r="F1223" s="40" t="str">
        <f>IF(wskakunin_koutei_izen01_INTER_ISSUE_NAME="","",wskakunin_koutei_izen01_INTER_ISSUE_NAME)</f>
        <v/>
      </c>
    </row>
    <row r="1224" spans="1:7" ht="15" customHeight="1" x14ac:dyDescent="0.15">
      <c r="A1224" s="182"/>
      <c r="B1224" s="111" t="s">
        <v>795</v>
      </c>
      <c r="C1224" s="14" t="s">
        <v>1441</v>
      </c>
      <c r="D1224" s="214"/>
      <c r="E1224" s="14" t="s">
        <v>2434</v>
      </c>
      <c r="F1224" s="40" t="str">
        <f>IF(wskakunin_koutei_izen01_INTER_ISSUE_NO="","",wskakunin_koutei_izen01_INTER_ISSUE_NO)</f>
        <v/>
      </c>
    </row>
    <row r="1225" spans="1:7" ht="15" customHeight="1" x14ac:dyDescent="0.15">
      <c r="A1225" s="182"/>
      <c r="B1225" s="111" t="s">
        <v>796</v>
      </c>
      <c r="C1225" s="14" t="s">
        <v>1442</v>
      </c>
      <c r="D1225" s="236"/>
      <c r="E1225" s="14" t="s">
        <v>2435</v>
      </c>
      <c r="F1225" s="236" t="str">
        <f>IF(wskakunin_koutei_izen01_INTER_ISSUE_DATE="","",wskakunin_koutei_izen01_INTER_ISSUE_DATE)</f>
        <v/>
      </c>
    </row>
    <row r="1226" spans="1:7" ht="15" customHeight="1" x14ac:dyDescent="0.15">
      <c r="A1226" s="183"/>
      <c r="B1226" s="70"/>
    </row>
    <row r="1227" spans="1:7" ht="15" customHeight="1" x14ac:dyDescent="0.15">
      <c r="A1227" s="182" t="s">
        <v>1332</v>
      </c>
      <c r="B1227" s="62"/>
    </row>
    <row r="1228" spans="1:7" ht="15" customHeight="1" x14ac:dyDescent="0.15">
      <c r="A1228" s="182"/>
      <c r="B1228" s="70" t="s">
        <v>779</v>
      </c>
      <c r="C1228" s="14" t="s">
        <v>1443</v>
      </c>
      <c r="D1228" s="214"/>
      <c r="E1228" s="14" t="s">
        <v>2449</v>
      </c>
      <c r="F1228" s="40" t="str">
        <f>IF(wskakunin_koutei_izen02_KOUTEI_KAISUU="","",wskakunin_koutei_izen02_KOUTEI_KAISUU)</f>
        <v/>
      </c>
    </row>
    <row r="1229" spans="1:7" ht="15" customHeight="1" x14ac:dyDescent="0.15">
      <c r="A1229" s="182"/>
      <c r="B1229" s="69" t="s">
        <v>708</v>
      </c>
      <c r="C1229" s="14" t="s">
        <v>1444</v>
      </c>
      <c r="D1229" s="214"/>
      <c r="E1229" s="14" t="s">
        <v>2450</v>
      </c>
      <c r="F1229" s="40" t="str">
        <f>IF(wskakunin_koutei_izen02_KOUTEI_TEXT="","",wskakunin_koutei_izen02_KOUTEI_TEXT)</f>
        <v/>
      </c>
    </row>
    <row r="1230" spans="1:7" ht="15" customHeight="1" x14ac:dyDescent="0.15">
      <c r="A1230" s="182"/>
      <c r="B1230" s="111" t="s">
        <v>794</v>
      </c>
      <c r="C1230" s="14" t="s">
        <v>1445</v>
      </c>
      <c r="D1230" s="214"/>
      <c r="E1230" s="14" t="s">
        <v>2451</v>
      </c>
      <c r="F1230" s="40" t="str">
        <f>IF(wskakunin_koutei_izen02_INTER_ISSUE_NAME="","",wskakunin_koutei_izen02_INTER_ISSUE_NAME)</f>
        <v/>
      </c>
    </row>
    <row r="1231" spans="1:7" ht="15" customHeight="1" x14ac:dyDescent="0.15">
      <c r="A1231" s="182"/>
      <c r="B1231" s="111" t="s">
        <v>795</v>
      </c>
      <c r="C1231" s="14" t="s">
        <v>1446</v>
      </c>
      <c r="D1231" s="214"/>
      <c r="E1231" s="14" t="s">
        <v>2452</v>
      </c>
      <c r="F1231" s="40" t="str">
        <f>IF(wskakunin_koutei_izen02_INTER_ISSUE_NO="","",wskakunin_koutei_izen02_INTER_ISSUE_NO)</f>
        <v/>
      </c>
    </row>
    <row r="1232" spans="1:7" ht="15" customHeight="1" x14ac:dyDescent="0.15">
      <c r="A1232" s="182"/>
      <c r="B1232" s="111" t="s">
        <v>796</v>
      </c>
      <c r="C1232" s="14" t="s">
        <v>1447</v>
      </c>
      <c r="D1232" s="236"/>
      <c r="E1232" s="14" t="s">
        <v>2453</v>
      </c>
      <c r="F1232" s="236" t="str">
        <f>IF(wskakunin_koutei_izen02_INTER_ISSUE_DATE="","",wskakunin_koutei_izen02_INTER_ISSUE_DATE)</f>
        <v/>
      </c>
    </row>
    <row r="1233" spans="1:7" ht="15" customHeight="1" x14ac:dyDescent="0.15">
      <c r="A1233" s="182"/>
      <c r="B1233" s="70"/>
    </row>
    <row r="1234" spans="1:7" ht="15" customHeight="1" x14ac:dyDescent="0.15">
      <c r="A1234" s="181" t="s">
        <v>1336</v>
      </c>
      <c r="B1234" s="106"/>
    </row>
    <row r="1235" spans="1:7" ht="15" customHeight="1" x14ac:dyDescent="0.15">
      <c r="A1235" s="182"/>
      <c r="B1235" s="70" t="s">
        <v>779</v>
      </c>
      <c r="C1235" s="14" t="s">
        <v>2521</v>
      </c>
      <c r="D1235" s="214"/>
      <c r="E1235" s="14" t="s">
        <v>2531</v>
      </c>
      <c r="F1235" s="40" t="str">
        <f>IF(wskakunin_koutei_izen03_KOUTEI_KAISUU="","",wskakunin_koutei_izen03_KOUTEI_KAISUU)</f>
        <v/>
      </c>
    </row>
    <row r="1236" spans="1:7" ht="15" customHeight="1" x14ac:dyDescent="0.15">
      <c r="A1236" s="182"/>
      <c r="B1236" s="69" t="s">
        <v>708</v>
      </c>
      <c r="C1236" s="14" t="s">
        <v>2522</v>
      </c>
      <c r="D1236" s="214"/>
      <c r="E1236" s="14" t="s">
        <v>2532</v>
      </c>
      <c r="F1236" s="40" t="str">
        <f>IF(wskakunin_koutei_izen03_KOUTEI_TEXT="","",wskakunin_koutei_izen03_KOUTEI_TEXT)</f>
        <v/>
      </c>
    </row>
    <row r="1237" spans="1:7" ht="15" customHeight="1" x14ac:dyDescent="0.15">
      <c r="A1237" s="182"/>
      <c r="B1237" s="111" t="s">
        <v>794</v>
      </c>
      <c r="C1237" s="14" t="s">
        <v>2523</v>
      </c>
      <c r="D1237" s="214"/>
      <c r="E1237" s="14" t="s">
        <v>2533</v>
      </c>
      <c r="F1237" s="40" t="str">
        <f>IF(wskakunin_koutei_izen03_INTER_ISSUE_NAME="","",wskakunin_koutei_izen03_INTER_ISSUE_NAME)</f>
        <v/>
      </c>
    </row>
    <row r="1238" spans="1:7" ht="15" customHeight="1" x14ac:dyDescent="0.15">
      <c r="A1238" s="182"/>
      <c r="B1238" s="111" t="s">
        <v>795</v>
      </c>
      <c r="C1238" s="14" t="s">
        <v>2524</v>
      </c>
      <c r="D1238" s="214"/>
      <c r="E1238" s="14" t="s">
        <v>2534</v>
      </c>
      <c r="F1238" s="40" t="str">
        <f>IF(wskakunin_koutei_izen03_INTER_ISSUE_NO="","",wskakunin_koutei_izen03_INTER_ISSUE_NO)</f>
        <v/>
      </c>
    </row>
    <row r="1239" spans="1:7" ht="15" customHeight="1" x14ac:dyDescent="0.15">
      <c r="A1239" s="182"/>
      <c r="B1239" s="111" t="s">
        <v>796</v>
      </c>
      <c r="C1239" s="14" t="s">
        <v>2525</v>
      </c>
      <c r="D1239" s="234"/>
      <c r="E1239" s="14" t="s">
        <v>2535</v>
      </c>
      <c r="F1239" s="234" t="str">
        <f>IF(wskakunin_koutei_izen03_INTER_ISSUE_DATE="","",wskakunin_koutei_izen03_INTER_ISSUE_DATE)</f>
        <v/>
      </c>
    </row>
    <row r="1240" spans="1:7" ht="15" customHeight="1" x14ac:dyDescent="0.15">
      <c r="A1240" s="183"/>
      <c r="B1240" s="70"/>
    </row>
    <row r="1241" spans="1:7" ht="15" customHeight="1" x14ac:dyDescent="0.15">
      <c r="A1241" s="181" t="s">
        <v>2520</v>
      </c>
      <c r="B1241" s="106"/>
    </row>
    <row r="1242" spans="1:7" ht="15" customHeight="1" x14ac:dyDescent="0.15">
      <c r="A1242" s="182"/>
      <c r="B1242" s="70" t="s">
        <v>779</v>
      </c>
      <c r="C1242" s="14" t="s">
        <v>2526</v>
      </c>
      <c r="D1242" s="214"/>
      <c r="E1242" s="14" t="s">
        <v>2536</v>
      </c>
      <c r="F1242" s="40" t="str">
        <f>IF(wskakunin_koutei_izen04_KOUTEI_KAISUU="","",wskakunin_koutei_izen04_KOUTEI_KAISUU)</f>
        <v/>
      </c>
    </row>
    <row r="1243" spans="1:7" ht="15" customHeight="1" x14ac:dyDescent="0.15">
      <c r="A1243" s="182"/>
      <c r="B1243" s="69" t="s">
        <v>708</v>
      </c>
      <c r="C1243" s="14" t="s">
        <v>2527</v>
      </c>
      <c r="D1243" s="214"/>
      <c r="E1243" s="14" t="s">
        <v>2537</v>
      </c>
      <c r="F1243" s="40" t="str">
        <f>IF(wskakunin_koutei_izen04_KOUTEI_TEXT="","",wskakunin_koutei_izen04_KOUTEI_TEXT)</f>
        <v/>
      </c>
    </row>
    <row r="1244" spans="1:7" ht="15" customHeight="1" x14ac:dyDescent="0.15">
      <c r="A1244" s="182"/>
      <c r="B1244" s="111" t="s">
        <v>794</v>
      </c>
      <c r="C1244" s="14" t="s">
        <v>2528</v>
      </c>
      <c r="D1244" s="214"/>
      <c r="E1244" s="14" t="s">
        <v>2538</v>
      </c>
      <c r="F1244" s="40" t="str">
        <f>IF(wskakunin_koutei_izen04_INTER_ISSUE_NAME="","",wskakunin_koutei_izen04_INTER_ISSUE_NAME)</f>
        <v/>
      </c>
    </row>
    <row r="1245" spans="1:7" ht="15" customHeight="1" x14ac:dyDescent="0.15">
      <c r="A1245" s="182"/>
      <c r="B1245" s="111" t="s">
        <v>795</v>
      </c>
      <c r="C1245" s="14" t="s">
        <v>2529</v>
      </c>
      <c r="D1245" s="214"/>
      <c r="E1245" s="14" t="s">
        <v>2539</v>
      </c>
      <c r="F1245" s="40" t="str">
        <f>IF(wskakunin_koutei_izen04_INTER_ISSUE_NO="","",wskakunin_koutei_izen04_INTER_ISSUE_NO)</f>
        <v/>
      </c>
    </row>
    <row r="1246" spans="1:7" ht="15" customHeight="1" x14ac:dyDescent="0.15">
      <c r="A1246" s="182"/>
      <c r="B1246" s="111" t="s">
        <v>796</v>
      </c>
      <c r="C1246" s="14" t="s">
        <v>2530</v>
      </c>
      <c r="D1246" s="234"/>
      <c r="E1246" s="14" t="s">
        <v>2540</v>
      </c>
      <c r="F1246" s="234" t="str">
        <f>IF(wskakunin_koutei_izen04_INTER_ISSUE_DATE="","",wskakunin_koutei_izen04_INTER_ISSUE_DATE)</f>
        <v/>
      </c>
    </row>
    <row r="1247" spans="1:7" ht="15" customHeight="1" x14ac:dyDescent="0.15">
      <c r="A1247" s="183"/>
      <c r="B1247" s="70"/>
    </row>
    <row r="1248" spans="1:7" ht="15" customHeight="1" x14ac:dyDescent="0.15">
      <c r="A1248" s="181" t="s">
        <v>2541</v>
      </c>
      <c r="B1248" s="106" t="s">
        <v>2510</v>
      </c>
      <c r="G1248" s="14" t="s">
        <v>2410</v>
      </c>
    </row>
    <row r="1249" spans="1:7" ht="15" customHeight="1" x14ac:dyDescent="0.15">
      <c r="A1249" s="182"/>
      <c r="B1249" s="70" t="s">
        <v>2415</v>
      </c>
      <c r="E1249" s="14" t="s">
        <v>2436</v>
      </c>
      <c r="F1249" s="40" t="str">
        <f ca="1">IF(chk_JOB_KIND_kakunin=1,"",cst_wskakunin_koutei_izen01_KOUTEI_KAISUU)</f>
        <v/>
      </c>
    </row>
    <row r="1250" spans="1:7" ht="15" customHeight="1" x14ac:dyDescent="0.15">
      <c r="A1250" s="182"/>
      <c r="B1250" s="69" t="s">
        <v>2416</v>
      </c>
      <c r="E1250" s="14" t="s">
        <v>2437</v>
      </c>
      <c r="F1250" s="40" t="str">
        <f ca="1">IF(chk_JOB_KIND_kakunin=1,"",cst_wskakunin_koutei_izen01_KOUTEI_TEXT)</f>
        <v/>
      </c>
    </row>
    <row r="1251" spans="1:7" ht="15" customHeight="1" x14ac:dyDescent="0.15">
      <c r="A1251" s="182"/>
      <c r="B1251" s="111" t="s">
        <v>2417</v>
      </c>
      <c r="E1251" s="14" t="s">
        <v>2440</v>
      </c>
      <c r="F1251" s="40" t="str">
        <f ca="1">IF(chk_JOB_KIND_kakunin=1,"",cst_wskakunin_koutei_izen01_INTER_ISSUE_NAME)</f>
        <v/>
      </c>
    </row>
    <row r="1252" spans="1:7" ht="15" customHeight="1" x14ac:dyDescent="0.15">
      <c r="A1252" s="182"/>
      <c r="B1252" s="111" t="s">
        <v>2418</v>
      </c>
      <c r="E1252" s="14" t="s">
        <v>2438</v>
      </c>
      <c r="F1252" s="40" t="str">
        <f ca="1">IF(chk_JOB_KIND_kakunin=1,"",cst_wskakunin_koutei_izen01_INTER_ISSUE_NO)</f>
        <v/>
      </c>
    </row>
    <row r="1253" spans="1:7" ht="15" customHeight="1" x14ac:dyDescent="0.15">
      <c r="A1253" s="182"/>
      <c r="B1253" s="111" t="s">
        <v>2419</v>
      </c>
      <c r="E1253" s="14" t="s">
        <v>2439</v>
      </c>
      <c r="F1253" s="236" t="str">
        <f ca="1">IF(chk_JOB_KIND_kakunin=1,"",cst_wskakunin_koutei_izen01_INTER_ISSUE_DATE)</f>
        <v/>
      </c>
    </row>
    <row r="1254" spans="1:7" ht="15" customHeight="1" x14ac:dyDescent="0.15">
      <c r="A1254" s="182"/>
      <c r="B1254" s="70"/>
    </row>
    <row r="1255" spans="1:7" ht="15" customHeight="1" x14ac:dyDescent="0.15">
      <c r="A1255" s="181" t="s">
        <v>2541</v>
      </c>
      <c r="B1255" s="106" t="s">
        <v>2511</v>
      </c>
      <c r="G1255" s="14" t="s">
        <v>2446</v>
      </c>
    </row>
    <row r="1256" spans="1:7" ht="15" customHeight="1" x14ac:dyDescent="0.15">
      <c r="A1256" s="182"/>
      <c r="B1256" s="70" t="s">
        <v>2415</v>
      </c>
      <c r="E1256" s="14" t="s">
        <v>2441</v>
      </c>
      <c r="F1256" s="40">
        <f ca="1">IF(chk_INTER1_state_in_conf=1,cst_wskakunin_koutei01_KOUTEI_KAISUU,"")</f>
        <v>1</v>
      </c>
    </row>
    <row r="1257" spans="1:7" ht="15" customHeight="1" x14ac:dyDescent="0.15">
      <c r="A1257" s="182"/>
      <c r="B1257" s="69" t="s">
        <v>2416</v>
      </c>
      <c r="E1257" s="14" t="s">
        <v>2442</v>
      </c>
      <c r="F1257" s="40" t="str">
        <f ca="1">IF(chk_INTER1_state_in_conf=1,cst_wskakunin_koutei01_KOUTEI_TEXT,"")</f>
        <v>軸組みの工事及び当該軸組の部材を緊結する工事</v>
      </c>
    </row>
    <row r="1258" spans="1:7" ht="15" customHeight="1" x14ac:dyDescent="0.15">
      <c r="A1258" s="182"/>
      <c r="B1258" s="111" t="s">
        <v>2417</v>
      </c>
      <c r="E1258" s="14" t="s">
        <v>2443</v>
      </c>
      <c r="F1258" s="40" t="str">
        <f ca="1">IF(chk_INTER1_state_in_conf=1,cst_wskakunin_KIKAN_NAME,"")</f>
        <v>株式会社香川県建築住宅センター</v>
      </c>
    </row>
    <row r="1259" spans="1:7" ht="15" customHeight="1" x14ac:dyDescent="0.15">
      <c r="A1259" s="182"/>
      <c r="B1259" s="111" t="s">
        <v>2418</v>
      </c>
      <c r="E1259" s="14" t="s">
        <v>2444</v>
      </c>
      <c r="F1259" s="40" t="str">
        <f ca="1">IF(chk_INTER1_state_in_conf=1,"第   KAK建合        号","")</f>
        <v>第   KAK建合        号</v>
      </c>
    </row>
    <row r="1260" spans="1:7" ht="15" customHeight="1" x14ac:dyDescent="0.15">
      <c r="A1260" s="182"/>
      <c r="B1260" s="111" t="s">
        <v>2419</v>
      </c>
      <c r="E1260" s="14" t="s">
        <v>2445</v>
      </c>
      <c r="F1260" s="236" t="str">
        <f ca="1">IF(chk_INTER1_state_in_conf=1,"","")</f>
        <v/>
      </c>
    </row>
    <row r="1261" spans="1:7" ht="15" customHeight="1" x14ac:dyDescent="0.15">
      <c r="A1261" s="183"/>
      <c r="B1261" s="70"/>
    </row>
    <row r="1262" spans="1:7" ht="15" customHeight="1" x14ac:dyDescent="0.15">
      <c r="A1262" s="181" t="s">
        <v>2542</v>
      </c>
      <c r="B1262" s="106" t="s">
        <v>2510</v>
      </c>
      <c r="G1262" s="14" t="s">
        <v>2410</v>
      </c>
    </row>
    <row r="1263" spans="1:7" ht="15" customHeight="1" x14ac:dyDescent="0.15">
      <c r="A1263" s="182"/>
      <c r="B1263" s="70" t="s">
        <v>2415</v>
      </c>
      <c r="E1263" s="14" t="s">
        <v>2543</v>
      </c>
      <c r="F1263" s="40" t="str">
        <f ca="1">IF(chk_JOB_KIND_kakunin=1,"",cst_wskakunin_koutei_izen02_KOUTEI_KAISUU)</f>
        <v/>
      </c>
    </row>
    <row r="1264" spans="1:7" ht="15" customHeight="1" x14ac:dyDescent="0.15">
      <c r="A1264" s="182"/>
      <c r="B1264" s="69" t="s">
        <v>2416</v>
      </c>
      <c r="E1264" s="14" t="s">
        <v>2544</v>
      </c>
      <c r="F1264" s="40" t="str">
        <f ca="1">IF(chk_JOB_KIND_kakunin=1,"",cst_wskakunin_koutei_izen02_KOUTEI_TEXT)</f>
        <v/>
      </c>
    </row>
    <row r="1265" spans="1:7" ht="15" customHeight="1" x14ac:dyDescent="0.15">
      <c r="A1265" s="182"/>
      <c r="B1265" s="111" t="s">
        <v>2417</v>
      </c>
      <c r="E1265" s="14" t="s">
        <v>2545</v>
      </c>
      <c r="F1265" s="40" t="str">
        <f ca="1">IF(chk_JOB_KIND_kakunin=1,"",cst_wskakunin_koutei_izen02_INTER_ISSUE_NAME)</f>
        <v/>
      </c>
    </row>
    <row r="1266" spans="1:7" ht="15" customHeight="1" x14ac:dyDescent="0.15">
      <c r="A1266" s="182"/>
      <c r="B1266" s="111" t="s">
        <v>2418</v>
      </c>
      <c r="E1266" s="14" t="s">
        <v>2546</v>
      </c>
      <c r="F1266" s="40" t="str">
        <f ca="1">IF(chk_JOB_KIND_kakunin=1,"",cst_wskakunin_koutei_izen02_INTER_ISSUE_NO)</f>
        <v/>
      </c>
    </row>
    <row r="1267" spans="1:7" ht="15" customHeight="1" x14ac:dyDescent="0.15">
      <c r="A1267" s="182"/>
      <c r="B1267" s="111" t="s">
        <v>2419</v>
      </c>
      <c r="E1267" s="14" t="s">
        <v>2547</v>
      </c>
      <c r="F1267" s="236" t="str">
        <f ca="1">IF(chk_JOB_KIND_kakunin=1,"",cst_wskakunin_koutei_izen02_INTER_ISSUE_DATE)</f>
        <v/>
      </c>
    </row>
    <row r="1268" spans="1:7" ht="15" customHeight="1" x14ac:dyDescent="0.15">
      <c r="A1268" s="182"/>
      <c r="B1268" s="70"/>
    </row>
    <row r="1269" spans="1:7" ht="15" customHeight="1" x14ac:dyDescent="0.15">
      <c r="A1269" s="181" t="s">
        <v>2542</v>
      </c>
      <c r="B1269" s="106" t="s">
        <v>2511</v>
      </c>
      <c r="G1269" s="14" t="s">
        <v>2410</v>
      </c>
    </row>
    <row r="1270" spans="1:7" ht="15" customHeight="1" x14ac:dyDescent="0.15">
      <c r="A1270" s="182"/>
      <c r="B1270" s="70" t="s">
        <v>2415</v>
      </c>
      <c r="E1270" s="14" t="s">
        <v>2548</v>
      </c>
      <c r="F1270" s="40" t="str">
        <f ca="1">IF(chk_INTER1_state_in_conf=1,"","")</f>
        <v/>
      </c>
    </row>
    <row r="1271" spans="1:7" ht="15" customHeight="1" x14ac:dyDescent="0.15">
      <c r="A1271" s="182"/>
      <c r="B1271" s="69" t="s">
        <v>2416</v>
      </c>
      <c r="E1271" s="14" t="s">
        <v>2549</v>
      </c>
      <c r="F1271" s="40" t="str">
        <f ca="1">IF(chk_INTER1_state_in_conf=1,"","")</f>
        <v/>
      </c>
    </row>
    <row r="1272" spans="1:7" ht="15" customHeight="1" x14ac:dyDescent="0.15">
      <c r="A1272" s="182"/>
      <c r="B1272" s="111" t="s">
        <v>2417</v>
      </c>
      <c r="E1272" s="14" t="s">
        <v>2550</v>
      </c>
      <c r="F1272" s="40" t="str">
        <f ca="1">IF(chk_INTER1_state_in_conf=1,"","")</f>
        <v/>
      </c>
    </row>
    <row r="1273" spans="1:7" ht="15" customHeight="1" x14ac:dyDescent="0.15">
      <c r="A1273" s="182"/>
      <c r="B1273" s="111" t="s">
        <v>2418</v>
      </c>
      <c r="E1273" s="14" t="s">
        <v>2551</v>
      </c>
      <c r="F1273" s="40" t="str">
        <f ca="1">IF(chk_INTER1_state_in_conf=1,"","")</f>
        <v/>
      </c>
    </row>
    <row r="1274" spans="1:7" ht="15" customHeight="1" x14ac:dyDescent="0.15">
      <c r="A1274" s="182"/>
      <c r="B1274" s="111" t="s">
        <v>2419</v>
      </c>
      <c r="E1274" s="14" t="s">
        <v>2552</v>
      </c>
      <c r="F1274" s="236" t="str">
        <f ca="1">IF(chk_INTER1_state_in_conf=1,"","")</f>
        <v/>
      </c>
    </row>
    <row r="1275" spans="1:7" ht="15" customHeight="1" x14ac:dyDescent="0.15">
      <c r="A1275" s="183"/>
      <c r="B1275" s="70"/>
    </row>
    <row r="1276" spans="1:7" ht="15" customHeight="1" x14ac:dyDescent="0.15">
      <c r="A1276" s="171" t="s">
        <v>797</v>
      </c>
      <c r="B1276" s="105"/>
    </row>
    <row r="1277" spans="1:7" ht="15" customHeight="1" x14ac:dyDescent="0.15">
      <c r="A1277" s="181" t="s">
        <v>1325</v>
      </c>
      <c r="B1277" s="106"/>
    </row>
    <row r="1278" spans="1:7" ht="15" customHeight="1" x14ac:dyDescent="0.15">
      <c r="A1278" s="182"/>
      <c r="B1278" s="70" t="s">
        <v>779</v>
      </c>
      <c r="C1278" s="14" t="s">
        <v>1448</v>
      </c>
      <c r="D1278" s="214"/>
      <c r="E1278" s="14" t="s">
        <v>2456</v>
      </c>
      <c r="F1278" s="40" t="str">
        <f>IF(wskakunin_koutei_ikou01_KOUTEI_KAISUU="","",wskakunin_koutei_ikou01_KOUTEI_KAISUU)</f>
        <v/>
      </c>
    </row>
    <row r="1279" spans="1:7" ht="15" customHeight="1" x14ac:dyDescent="0.15">
      <c r="A1279" s="182"/>
      <c r="B1279" s="69" t="s">
        <v>708</v>
      </c>
      <c r="C1279" s="14" t="s">
        <v>1449</v>
      </c>
      <c r="D1279" s="214"/>
      <c r="E1279" s="14" t="s">
        <v>2457</v>
      </c>
      <c r="F1279" s="40" t="str">
        <f>IF(wskakunin_koutei_ikou01_KOUTEI_TEXT="","",wskakunin_koutei_ikou01_KOUTEI_TEXT)</f>
        <v/>
      </c>
    </row>
    <row r="1280" spans="1:7" ht="15" customHeight="1" x14ac:dyDescent="0.15">
      <c r="A1280" s="182"/>
      <c r="B1280" s="69" t="s">
        <v>798</v>
      </c>
      <c r="C1280" s="14" t="s">
        <v>1450</v>
      </c>
      <c r="D1280" s="236"/>
      <c r="E1280" s="14" t="s">
        <v>2458</v>
      </c>
      <c r="F1280" s="236" t="str">
        <f>IF(wskakunin_koutei_ikou01_KOUTEI_DATE="","",wskakunin_koutei_ikou01_KOUTEI_DATE)</f>
        <v/>
      </c>
    </row>
    <row r="1281" spans="1:7" ht="15" customHeight="1" x14ac:dyDescent="0.15">
      <c r="A1281" s="183"/>
      <c r="B1281" s="70"/>
    </row>
    <row r="1282" spans="1:7" ht="15" customHeight="1" x14ac:dyDescent="0.15">
      <c r="A1282" s="181" t="s">
        <v>2519</v>
      </c>
      <c r="B1282" s="106"/>
    </row>
    <row r="1283" spans="1:7" ht="15" customHeight="1" x14ac:dyDescent="0.15">
      <c r="A1283" s="182"/>
      <c r="B1283" s="70" t="s">
        <v>779</v>
      </c>
      <c r="C1283" s="14" t="s">
        <v>1451</v>
      </c>
      <c r="D1283" s="214"/>
      <c r="E1283" s="14" t="s">
        <v>2466</v>
      </c>
      <c r="F1283" s="40" t="str">
        <f>IF(wskakunin_koutei_ikou02_KOUTEI_KAISUU="","",wskakunin_koutei_ikou02_KOUTEI_KAISUU)</f>
        <v/>
      </c>
    </row>
    <row r="1284" spans="1:7" ht="15" customHeight="1" x14ac:dyDescent="0.15">
      <c r="A1284" s="182"/>
      <c r="B1284" s="69" t="s">
        <v>708</v>
      </c>
      <c r="C1284" s="14" t="s">
        <v>1452</v>
      </c>
      <c r="D1284" s="214"/>
      <c r="E1284" s="14" t="s">
        <v>2467</v>
      </c>
      <c r="F1284" s="40" t="str">
        <f>IF(wskakunin_koutei_ikou02_KOUTEI_TEXT="","",wskakunin_koutei_ikou02_KOUTEI_TEXT)</f>
        <v/>
      </c>
    </row>
    <row r="1285" spans="1:7" ht="15" customHeight="1" x14ac:dyDescent="0.15">
      <c r="A1285" s="182"/>
      <c r="B1285" s="69" t="s">
        <v>798</v>
      </c>
      <c r="C1285" s="14" t="s">
        <v>1453</v>
      </c>
      <c r="D1285" s="236"/>
      <c r="E1285" s="14" t="s">
        <v>2468</v>
      </c>
      <c r="F1285" s="236" t="str">
        <f>IF(wskakunin_koutei_ikou02_KOUTEI_DATE="","",wskakunin_koutei_ikou02_KOUTEI_DATE)</f>
        <v/>
      </c>
    </row>
    <row r="1286" spans="1:7" ht="15" customHeight="1" x14ac:dyDescent="0.15">
      <c r="A1286" s="183"/>
      <c r="B1286" s="70"/>
    </row>
    <row r="1287" spans="1:7" ht="15" customHeight="1" x14ac:dyDescent="0.15">
      <c r="A1287" s="181" t="s">
        <v>2553</v>
      </c>
      <c r="B1287" s="106" t="s">
        <v>2510</v>
      </c>
      <c r="G1287" s="14" t="s">
        <v>2411</v>
      </c>
    </row>
    <row r="1288" spans="1:7" ht="15" customHeight="1" x14ac:dyDescent="0.15">
      <c r="A1288" s="182"/>
      <c r="B1288" s="70" t="s">
        <v>2415</v>
      </c>
      <c r="E1288" s="14" t="s">
        <v>2471</v>
      </c>
      <c r="F1288" s="40" t="str">
        <f ca="1">IF(chk_INTER2_state_in_conf=1,cst_wskakunin_koutei02_KOUTEI_KAISUU,cst_wskakunin_koutei_ikou01_KOUTEI_KAISUU)</f>
        <v/>
      </c>
    </row>
    <row r="1289" spans="1:7" ht="15" customHeight="1" x14ac:dyDescent="0.15">
      <c r="A1289" s="182"/>
      <c r="B1289" s="69" t="s">
        <v>2416</v>
      </c>
      <c r="E1289" s="14" t="s">
        <v>2472</v>
      </c>
      <c r="F1289" s="40" t="str">
        <f ca="1">IF(chk_INTER2_state_in_conf=1,cst_wskakunin_koutei02_KOUTEI_TEXT,cst_wskakunin_koutei_ikou01_KOUTEI_TEXT)</f>
        <v/>
      </c>
    </row>
    <row r="1290" spans="1:7" ht="15" customHeight="1" x14ac:dyDescent="0.15">
      <c r="A1290" s="182"/>
      <c r="B1290" s="69" t="s">
        <v>2455</v>
      </c>
      <c r="E1290" s="14" t="s">
        <v>2459</v>
      </c>
      <c r="F1290" s="236" t="str">
        <f ca="1">IF(chk_INTER2_state_in_conf=1,cst_wskakunin_koutei02_KOUTEI_DATE,cst_wskakunin_koutei_ikou01_KOUTEI_DATE)</f>
        <v/>
      </c>
    </row>
    <row r="1291" spans="1:7" ht="15" customHeight="1" x14ac:dyDescent="0.15">
      <c r="A1291" s="183"/>
      <c r="B1291" s="70"/>
    </row>
    <row r="1292" spans="1:7" ht="15" customHeight="1" x14ac:dyDescent="0.15">
      <c r="A1292" s="181" t="s">
        <v>2553</v>
      </c>
      <c r="B1292" s="62" t="s">
        <v>2511</v>
      </c>
      <c r="G1292" s="14" t="s">
        <v>2454</v>
      </c>
    </row>
    <row r="1293" spans="1:7" ht="15" customHeight="1" x14ac:dyDescent="0.15">
      <c r="A1293" s="182"/>
      <c r="B1293" s="70" t="s">
        <v>2415</v>
      </c>
      <c r="E1293" s="14" t="s">
        <v>2473</v>
      </c>
      <c r="F1293" s="40" t="str">
        <f ca="1">IF(chk_INTER3_state_in_conf=1,cst_wskakunin_koutei03_KOUTEI_KAISUU,"")</f>
        <v/>
      </c>
    </row>
    <row r="1294" spans="1:7" ht="15" customHeight="1" x14ac:dyDescent="0.15">
      <c r="A1294" s="182"/>
      <c r="B1294" s="69" t="s">
        <v>2416</v>
      </c>
      <c r="E1294" s="14" t="s">
        <v>2460</v>
      </c>
      <c r="F1294" s="40" t="str">
        <f ca="1">IF(chk_INTER3_state_in_conf=1,cst_wskakunin_koutei03_KOUTEI_TEXT,"")</f>
        <v/>
      </c>
    </row>
    <row r="1295" spans="1:7" ht="15" customHeight="1" x14ac:dyDescent="0.15">
      <c r="A1295" s="182"/>
      <c r="B1295" s="69" t="s">
        <v>2455</v>
      </c>
      <c r="E1295" s="14" t="s">
        <v>2461</v>
      </c>
      <c r="F1295" s="236" t="str">
        <f ca="1">IF(chk_INTER3_state_in_conf=1,cst_wskakunin_koutei03_KOUTEI_DATE,"")</f>
        <v/>
      </c>
    </row>
    <row r="1296" spans="1:7" ht="15" customHeight="1" x14ac:dyDescent="0.15">
      <c r="A1296" s="183"/>
      <c r="B1296" s="70"/>
    </row>
    <row r="1297" spans="1:7" ht="15" customHeight="1" x14ac:dyDescent="0.15">
      <c r="A1297" s="181" t="s">
        <v>2554</v>
      </c>
      <c r="B1297" s="106" t="s">
        <v>2510</v>
      </c>
      <c r="G1297" s="14" t="s">
        <v>2464</v>
      </c>
    </row>
    <row r="1298" spans="1:7" ht="15" customHeight="1" x14ac:dyDescent="0.15">
      <c r="A1298" s="182"/>
      <c r="B1298" s="70" t="s">
        <v>2415</v>
      </c>
      <c r="E1298" s="14" t="s">
        <v>2474</v>
      </c>
      <c r="F1298" s="40" t="str">
        <f ca="1">IF(chk_INTER2_state_in_conf=1,cst_wskakunin_koutei02_KOUTEI_KAISUU,cst_wskakunin_koutei_ikou02_KOUTEI_KAISUU)</f>
        <v/>
      </c>
    </row>
    <row r="1299" spans="1:7" ht="15" customHeight="1" x14ac:dyDescent="0.15">
      <c r="A1299" s="182"/>
      <c r="B1299" s="69" t="s">
        <v>2416</v>
      </c>
      <c r="E1299" s="14" t="s">
        <v>2475</v>
      </c>
      <c r="F1299" s="40" t="str">
        <f ca="1">IF(chk_INTER2_state_in_conf=1,cst_wskakunin_koutei02_KOUTEI_TEXT,cst_wskakunin_koutei_ikou02_KOUTEI_TEXT)</f>
        <v/>
      </c>
    </row>
    <row r="1300" spans="1:7" ht="15" customHeight="1" x14ac:dyDescent="0.15">
      <c r="A1300" s="182"/>
      <c r="B1300" s="69" t="s">
        <v>2455</v>
      </c>
      <c r="E1300" s="14" t="s">
        <v>2462</v>
      </c>
      <c r="F1300" s="236" t="str">
        <f ca="1">IF(chk_INTER2_state_in_conf=1,cst_wskakunin_koutei02_KOUTEI_DATE,cst_wskakunin_koutei_ikou02_KOUTEI_DATE)</f>
        <v/>
      </c>
    </row>
    <row r="1301" spans="1:7" ht="15" customHeight="1" x14ac:dyDescent="0.15">
      <c r="A1301" s="183"/>
      <c r="B1301" s="70"/>
    </row>
    <row r="1302" spans="1:7" ht="15" customHeight="1" x14ac:dyDescent="0.15">
      <c r="A1302" s="181" t="s">
        <v>2554</v>
      </c>
      <c r="B1302" s="62" t="s">
        <v>2511</v>
      </c>
      <c r="G1302" s="14" t="s">
        <v>2465</v>
      </c>
    </row>
    <row r="1303" spans="1:7" ht="15" customHeight="1" x14ac:dyDescent="0.15">
      <c r="A1303" s="182"/>
      <c r="B1303" s="70" t="s">
        <v>2415</v>
      </c>
      <c r="E1303" s="14" t="s">
        <v>2476</v>
      </c>
      <c r="F1303" s="40" t="str">
        <f ca="1">IF(chk_INTER3_state_in_conf=1,cst_wskakunin_koutei03_KOUTEI_KAISUU,"")</f>
        <v/>
      </c>
    </row>
    <row r="1304" spans="1:7" ht="15" customHeight="1" x14ac:dyDescent="0.15">
      <c r="A1304" s="182"/>
      <c r="B1304" s="69" t="s">
        <v>2416</v>
      </c>
      <c r="E1304" s="14" t="s">
        <v>2463</v>
      </c>
      <c r="F1304" s="40" t="str">
        <f ca="1">IF(chk_INTER3_state_in_conf=1,cst_wskakunin_koutei03_KOUTEI_TEXT,"")</f>
        <v/>
      </c>
    </row>
    <row r="1305" spans="1:7" ht="15" customHeight="1" x14ac:dyDescent="0.15">
      <c r="A1305" s="182"/>
      <c r="B1305" s="69" t="s">
        <v>2455</v>
      </c>
      <c r="E1305" s="14" t="s">
        <v>2477</v>
      </c>
      <c r="F1305" s="236" t="str">
        <f ca="1">IF(chk_INTER3_state_in_conf=1,cst_wskakunin_koutei03_KOUTEI_DATE,"")</f>
        <v/>
      </c>
    </row>
    <row r="1306" spans="1:7" ht="15" customHeight="1" x14ac:dyDescent="0.15">
      <c r="A1306" s="184"/>
      <c r="B1306" s="71"/>
    </row>
    <row r="1307" spans="1:7" ht="15" customHeight="1" x14ac:dyDescent="0.15">
      <c r="A1307" s="168" t="s">
        <v>799</v>
      </c>
      <c r="B1307" s="45"/>
      <c r="C1307" t="s">
        <v>2325</v>
      </c>
    </row>
    <row r="1308" spans="1:7" ht="15" customHeight="1" x14ac:dyDescent="0.15">
      <c r="A1308" s="46"/>
      <c r="B1308" s="75" t="s">
        <v>800</v>
      </c>
      <c r="C1308" s="14" t="s">
        <v>2326</v>
      </c>
      <c r="D1308" s="214"/>
      <c r="E1308" s="14" t="s">
        <v>2469</v>
      </c>
      <c r="F1308" s="40" t="str">
        <f>IF(wskakunin_keibi_henkou01_HENKOU_SYURUI="","",wskakunin_keibi_henkou01_HENKOU_SYURUI)</f>
        <v/>
      </c>
    </row>
    <row r="1309" spans="1:7" ht="15" customHeight="1" x14ac:dyDescent="0.15">
      <c r="A1309" s="46"/>
      <c r="B1309" s="75" t="s">
        <v>801</v>
      </c>
      <c r="C1309" s="14" t="s">
        <v>2327</v>
      </c>
      <c r="D1309" s="214"/>
      <c r="E1309" s="14" t="s">
        <v>2470</v>
      </c>
      <c r="F1309" s="40" t="str">
        <f>IF(wskakunin_keibi_henkou01_HENKOU_GAIYOU="","",wskakunin_keibi_henkou01_HENKOU_GAIYOU)</f>
        <v/>
      </c>
    </row>
    <row r="1310" spans="1:7" ht="15" customHeight="1" x14ac:dyDescent="0.15">
      <c r="A1310" s="47"/>
      <c r="B1310" s="71"/>
      <c r="C1310" s="15"/>
    </row>
    <row r="1311" spans="1:7" ht="15" customHeight="1" x14ac:dyDescent="0.15">
      <c r="A1311" s="165" t="s">
        <v>1349</v>
      </c>
      <c r="B1311" s="102" t="s">
        <v>88</v>
      </c>
      <c r="F1311" s="14" t="s">
        <v>2481</v>
      </c>
      <c r="G1311" s="14" t="s">
        <v>2480</v>
      </c>
    </row>
    <row r="1312" spans="1:7" ht="15" customHeight="1" x14ac:dyDescent="0.15">
      <c r="A1312" s="168" t="s">
        <v>2818</v>
      </c>
      <c r="B1312" s="170"/>
      <c r="C1312" s="14" t="s">
        <v>2409</v>
      </c>
      <c r="D1312" s="236"/>
      <c r="E1312" s="14" t="s">
        <v>2425</v>
      </c>
      <c r="F1312" s="236" t="str">
        <f ca="1">IF(chk_JOB_KIND_kakunin=1,"",IF(wskakunin_KOUJI_KANRYOU_DATE="","",wskakunin_KOUJI_KANRYOU_DATE))</f>
        <v/>
      </c>
      <c r="G1312" s="14" t="s">
        <v>2410</v>
      </c>
    </row>
    <row r="1313" spans="1:6" ht="15" customHeight="1" x14ac:dyDescent="0.15">
      <c r="A1313" s="84" t="s">
        <v>2483</v>
      </c>
      <c r="B1313" s="105"/>
    </row>
    <row r="1314" spans="1:6" ht="15" customHeight="1" x14ac:dyDescent="0.15">
      <c r="A1314" s="166" t="s">
        <v>2485</v>
      </c>
      <c r="B1314" s="106" t="s">
        <v>2500</v>
      </c>
    </row>
    <row r="1315" spans="1:6" ht="15" customHeight="1" x14ac:dyDescent="0.15">
      <c r="A1315" s="46"/>
      <c r="B1315" s="70" t="s">
        <v>779</v>
      </c>
      <c r="E1315" s="14" t="s">
        <v>1327</v>
      </c>
      <c r="F1315" s="14">
        <f>cst_wskakunin_koutei01_KOUTEI_KAISUU</f>
        <v>1</v>
      </c>
    </row>
    <row r="1316" spans="1:6" ht="15" customHeight="1" x14ac:dyDescent="0.15">
      <c r="A1316" s="46"/>
      <c r="B1316" s="70" t="s">
        <v>708</v>
      </c>
      <c r="E1316" s="14" t="s">
        <v>1331</v>
      </c>
      <c r="F1316" s="14" t="str">
        <f>cst_wskakunin_koutei01_KOUTEI_TEXT</f>
        <v>軸組みの工事及び当該軸組の部材を緊結する工事</v>
      </c>
    </row>
    <row r="1317" spans="1:6" ht="15" customHeight="1" x14ac:dyDescent="0.15">
      <c r="A1317" s="46"/>
      <c r="B1317" s="70" t="s">
        <v>2484</v>
      </c>
      <c r="C1317" s="14" t="s">
        <v>2490</v>
      </c>
      <c r="D1317" s="214"/>
      <c r="E1317" s="14" t="s">
        <v>2502</v>
      </c>
      <c r="F1317" s="40" t="str">
        <f>IF(wskakunin_koutei01_INTER_ISSUE_NAME="","",wskakunin_koutei01_INTER_ISSUE_NAME)</f>
        <v/>
      </c>
    </row>
    <row r="1318" spans="1:6" ht="15" customHeight="1" x14ac:dyDescent="0.15">
      <c r="A1318" s="46"/>
      <c r="B1318" s="70" t="s">
        <v>795</v>
      </c>
      <c r="C1318" s="14" t="s">
        <v>2491</v>
      </c>
      <c r="D1318" s="214"/>
      <c r="E1318" s="14" t="s">
        <v>2503</v>
      </c>
      <c r="F1318" s="40" t="str">
        <f>IF(wskakunin_koutei01_INTER_ISSUE_NO="","",wskakunin_koutei01_INTER_ISSUE_NO)</f>
        <v/>
      </c>
    </row>
    <row r="1319" spans="1:6" ht="15" customHeight="1" x14ac:dyDescent="0.15">
      <c r="A1319" s="46"/>
      <c r="B1319" s="70" t="s">
        <v>796</v>
      </c>
      <c r="C1319" s="14" t="s">
        <v>2492</v>
      </c>
      <c r="D1319" s="236"/>
      <c r="E1319" s="14" t="s">
        <v>2504</v>
      </c>
      <c r="F1319" s="236" t="str">
        <f>IF(wskakunin_koutei01_INTER_ISSUE_DATE="","",wskakunin_koutei01_INTER_ISSUE_DATE)</f>
        <v/>
      </c>
    </row>
    <row r="1320" spans="1:6" ht="15" customHeight="1" x14ac:dyDescent="0.15">
      <c r="A1320" s="46"/>
      <c r="B1320" s="70"/>
      <c r="D1320" s="179"/>
      <c r="F1320" s="179"/>
    </row>
    <row r="1321" spans="1:6" ht="15" customHeight="1" x14ac:dyDescent="0.15">
      <c r="A1321" s="166"/>
      <c r="B1321" s="180" t="s">
        <v>2501</v>
      </c>
      <c r="D1321" s="179"/>
      <c r="F1321" s="179"/>
    </row>
    <row r="1322" spans="1:6" ht="15" customHeight="1" x14ac:dyDescent="0.15">
      <c r="A1322" s="46"/>
      <c r="B1322" s="70" t="s">
        <v>779</v>
      </c>
      <c r="D1322" s="179"/>
      <c r="E1322" s="14" t="s">
        <v>2506</v>
      </c>
      <c r="F1322" s="234">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1</v>
      </c>
    </row>
    <row r="1323" spans="1:6" ht="15" customHeight="1" x14ac:dyDescent="0.15">
      <c r="A1323" s="46"/>
      <c r="B1323" s="70" t="s">
        <v>708</v>
      </c>
      <c r="D1323" s="179"/>
      <c r="E1323" s="14" t="s">
        <v>2507</v>
      </c>
      <c r="F1323" s="234"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軸組みの工事及び当該軸組の部材を緊結する工事</v>
      </c>
    </row>
    <row r="1324" spans="1:6" ht="15" customHeight="1" x14ac:dyDescent="0.15">
      <c r="A1324" s="46"/>
      <c r="B1324" s="70" t="s">
        <v>2484</v>
      </c>
      <c r="D1324" s="179"/>
      <c r="E1324" s="14" t="s">
        <v>2508</v>
      </c>
      <c r="F1324" s="234" t="str">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
      </c>
    </row>
    <row r="1325" spans="1:6" ht="15" customHeight="1" x14ac:dyDescent="0.15">
      <c r="A1325" s="46"/>
      <c r="B1325" s="70" t="s">
        <v>795</v>
      </c>
      <c r="D1325" s="179"/>
      <c r="E1325" s="14" t="s">
        <v>2509</v>
      </c>
      <c r="F1325" s="234" t="str">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
      </c>
    </row>
    <row r="1326" spans="1:6" ht="15" customHeight="1" x14ac:dyDescent="0.15">
      <c r="A1326" s="46"/>
      <c r="B1326" s="70" t="s">
        <v>796</v>
      </c>
      <c r="D1326" s="179"/>
      <c r="E1326" s="14" t="s">
        <v>2505</v>
      </c>
      <c r="F1326" s="236"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27" spans="1:6" ht="15" customHeight="1" x14ac:dyDescent="0.15">
      <c r="A1327" s="167"/>
      <c r="B1327" s="70"/>
    </row>
    <row r="1328" spans="1:6" ht="15" customHeight="1" x14ac:dyDescent="0.15">
      <c r="A1328" s="46" t="s">
        <v>2486</v>
      </c>
      <c r="B1328" s="106" t="s">
        <v>2500</v>
      </c>
    </row>
    <row r="1329" spans="1:6" ht="15" customHeight="1" x14ac:dyDescent="0.15">
      <c r="A1329" s="46"/>
      <c r="B1329" s="70" t="s">
        <v>779</v>
      </c>
      <c r="E1329" s="14" t="s">
        <v>614</v>
      </c>
      <c r="F1329" s="14" t="str">
        <f>cst_wskakunin_koutei02_KOUTEI_KAISUU</f>
        <v/>
      </c>
    </row>
    <row r="1330" spans="1:6" ht="15" customHeight="1" x14ac:dyDescent="0.15">
      <c r="A1330" s="46"/>
      <c r="B1330" s="70" t="s">
        <v>708</v>
      </c>
      <c r="E1330" s="14" t="s">
        <v>616</v>
      </c>
      <c r="F1330" s="14" t="str">
        <f>cst_wskakunin_koutei02_KOUTEI_TEXT</f>
        <v/>
      </c>
    </row>
    <row r="1331" spans="1:6" ht="15" customHeight="1" x14ac:dyDescent="0.15">
      <c r="A1331" s="46"/>
      <c r="B1331" s="70" t="s">
        <v>2484</v>
      </c>
      <c r="C1331" s="14" t="s">
        <v>2487</v>
      </c>
      <c r="D1331" s="214"/>
      <c r="E1331" s="14" t="s">
        <v>2512</v>
      </c>
      <c r="F1331" s="40" t="str">
        <f>IF(wskakunin_koutei02_INTER_ISSUE_NAME="","",wskakunin_koutei02_INTER_ISSUE_NAME)</f>
        <v/>
      </c>
    </row>
    <row r="1332" spans="1:6" ht="15" customHeight="1" x14ac:dyDescent="0.15">
      <c r="A1332" s="46"/>
      <c r="B1332" s="70" t="s">
        <v>795</v>
      </c>
      <c r="C1332" s="14" t="s">
        <v>2488</v>
      </c>
      <c r="D1332" s="214"/>
      <c r="E1332" s="14" t="s">
        <v>2513</v>
      </c>
      <c r="F1332" s="40" t="str">
        <f>IF(wskakunin_koutei02_INTER_ISSUE_NO="","",wskakunin_koutei02_INTER_ISSUE_NO)</f>
        <v/>
      </c>
    </row>
    <row r="1333" spans="1:6" ht="15" customHeight="1" x14ac:dyDescent="0.15">
      <c r="A1333" s="46"/>
      <c r="B1333" s="70" t="s">
        <v>796</v>
      </c>
      <c r="C1333" s="14" t="s">
        <v>2489</v>
      </c>
      <c r="D1333" s="236"/>
      <c r="E1333" s="14" t="s">
        <v>2493</v>
      </c>
      <c r="F1333" s="236" t="str">
        <f>IF(wskakunin_koutei02_INTER_ISSUE_DATE="","",wskakunin_koutei02_INTER_ISSUE_DATE)</f>
        <v/>
      </c>
    </row>
    <row r="1334" spans="1:6" ht="15" customHeight="1" x14ac:dyDescent="0.15">
      <c r="A1334" s="46"/>
      <c r="B1334" s="70"/>
      <c r="D1334" s="179"/>
      <c r="F1334" s="179"/>
    </row>
    <row r="1335" spans="1:6" ht="15" customHeight="1" x14ac:dyDescent="0.15">
      <c r="A1335" s="46"/>
      <c r="B1335" s="70"/>
      <c r="D1335" s="179"/>
      <c r="F1335" s="179"/>
    </row>
    <row r="1336" spans="1:6" ht="15" customHeight="1" x14ac:dyDescent="0.15">
      <c r="A1336" s="166"/>
      <c r="B1336" s="180" t="s">
        <v>2501</v>
      </c>
      <c r="D1336" s="179"/>
      <c r="F1336" s="179"/>
    </row>
    <row r="1337" spans="1:6" ht="15" customHeight="1" x14ac:dyDescent="0.15">
      <c r="A1337" s="46"/>
      <c r="B1337" s="70" t="s">
        <v>779</v>
      </c>
      <c r="D1337" s="179"/>
      <c r="E1337" s="14" t="s">
        <v>2514</v>
      </c>
      <c r="F1337" s="234" t="str">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
      </c>
    </row>
    <row r="1338" spans="1:6" ht="15" customHeight="1" x14ac:dyDescent="0.15">
      <c r="A1338" s="46"/>
      <c r="B1338" s="70" t="s">
        <v>708</v>
      </c>
      <c r="D1338" s="179"/>
      <c r="E1338" s="14" t="s">
        <v>2515</v>
      </c>
      <c r="F1338" s="234"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39" spans="1:6" ht="15" customHeight="1" x14ac:dyDescent="0.15">
      <c r="A1339" s="46"/>
      <c r="B1339" s="70" t="s">
        <v>2484</v>
      </c>
      <c r="D1339" s="179"/>
      <c r="E1339" s="14" t="s">
        <v>2516</v>
      </c>
      <c r="F1339" s="234" t="str">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
      </c>
    </row>
    <row r="1340" spans="1:6" ht="15" customHeight="1" x14ac:dyDescent="0.15">
      <c r="A1340" s="46"/>
      <c r="B1340" s="70" t="s">
        <v>795</v>
      </c>
      <c r="D1340" s="179"/>
      <c r="E1340" s="14" t="s">
        <v>2517</v>
      </c>
      <c r="F1340" s="234" t="str">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
      </c>
    </row>
    <row r="1341" spans="1:6" ht="15" customHeight="1" x14ac:dyDescent="0.15">
      <c r="A1341" s="46"/>
      <c r="B1341" s="70" t="s">
        <v>796</v>
      </c>
      <c r="D1341" s="179"/>
      <c r="E1341" s="14" t="s">
        <v>2518</v>
      </c>
      <c r="F1341" s="236"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42" spans="1:6" ht="15" customHeight="1" x14ac:dyDescent="0.15">
      <c r="A1342" s="47"/>
      <c r="B1342" s="71"/>
    </row>
    <row r="1343" spans="1:6" ht="15" customHeight="1" x14ac:dyDescent="0.15">
      <c r="A1343" s="178"/>
      <c r="B1343" s="177"/>
    </row>
    <row r="1344" spans="1:6" ht="15" customHeight="1" x14ac:dyDescent="0.15">
      <c r="A1344" s="40" t="s">
        <v>2824</v>
      </c>
      <c r="B1344" s="40"/>
      <c r="C1344" s="14" t="s">
        <v>2825</v>
      </c>
      <c r="D1344" s="40" t="s">
        <v>112</v>
      </c>
      <c r="E1344" s="14" t="s">
        <v>2826</v>
      </c>
      <c r="F1344" s="40" t="str">
        <f>IF(shinsei_build_YOUTO="","",shinsei_build_YOUTO)</f>
        <v>一戸建ての住宅</v>
      </c>
    </row>
    <row r="1345" spans="3:6" ht="15" customHeight="1" x14ac:dyDescent="0.15">
      <c r="C1345" s="14" t="s">
        <v>3435</v>
      </c>
      <c r="D1345" s="40"/>
      <c r="E1345" s="14" t="s">
        <v>3436</v>
      </c>
      <c r="F1345" s="40" t="str">
        <f>IF(lastalter_shinsei_build_YOUTO="","",lastalter_shinsei_build_YOUTO)</f>
        <v/>
      </c>
    </row>
  </sheetData>
  <mergeCells count="3">
    <mergeCell ref="A1071:B1071"/>
    <mergeCell ref="A1012:A1014"/>
    <mergeCell ref="A1015:A1017"/>
  </mergeCells>
  <phoneticPr fontId="3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6:F61"/>
  <sheetViews>
    <sheetView topLeftCell="A7" zoomScale="90" zoomScaleNormal="90" workbookViewId="0">
      <selection activeCell="F36" sqref="F36"/>
    </sheetView>
  </sheetViews>
  <sheetFormatPr defaultColWidth="9" defaultRowHeight="15" customHeight="1" x14ac:dyDescent="0.15"/>
  <cols>
    <col min="1" max="1" width="15.75" customWidth="1"/>
    <col min="2" max="2" width="31.375" customWidth="1"/>
    <col min="3" max="3" width="37.625" customWidth="1"/>
    <col min="4" max="4" width="15.625" customWidth="1"/>
    <col min="5" max="5" width="40.625" customWidth="1"/>
    <col min="6" max="6" width="27.625" customWidth="1"/>
    <col min="7" max="7" width="35.625" customWidth="1"/>
  </cols>
  <sheetData>
    <row r="6" spans="1:6" ht="15" customHeight="1" x14ac:dyDescent="0.15">
      <c r="A6" t="s">
        <v>114</v>
      </c>
      <c r="C6" t="s">
        <v>115</v>
      </c>
      <c r="D6" t="s">
        <v>116</v>
      </c>
      <c r="E6" t="s">
        <v>117</v>
      </c>
      <c r="F6" t="s">
        <v>118</v>
      </c>
    </row>
    <row r="7" spans="1:6" ht="15" customHeight="1" x14ac:dyDescent="0.15">
      <c r="A7" s="415"/>
      <c r="B7" s="416"/>
    </row>
    <row r="8" spans="1:6" ht="15" customHeight="1" x14ac:dyDescent="0.15">
      <c r="A8" s="417"/>
      <c r="B8" s="418"/>
    </row>
    <row r="9" spans="1:6" ht="15" customHeight="1" x14ac:dyDescent="0.15">
      <c r="A9" s="417" t="s">
        <v>457</v>
      </c>
      <c r="B9" s="418"/>
    </row>
    <row r="10" spans="1:6" ht="15" customHeight="1" x14ac:dyDescent="0.15">
      <c r="A10" s="417"/>
      <c r="B10" s="420" t="s">
        <v>457</v>
      </c>
      <c r="C10" t="s">
        <v>3219</v>
      </c>
      <c r="D10" s="422"/>
      <c r="E10" t="s">
        <v>3220</v>
      </c>
      <c r="F10" s="422" t="str">
        <f>IF(wshyouka_SHINSEI_DATE="","",wshyouka_SHINSEI_DATE)</f>
        <v/>
      </c>
    </row>
    <row r="11" spans="1:6" ht="15" customHeight="1" x14ac:dyDescent="0.15">
      <c r="A11" s="419"/>
      <c r="B11" s="421"/>
    </row>
    <row r="12" spans="1:6" ht="15" customHeight="1" x14ac:dyDescent="0.15">
      <c r="A12" s="417" t="s">
        <v>89</v>
      </c>
      <c r="B12" s="423"/>
    </row>
    <row r="13" spans="1:6" ht="15" customHeight="1" x14ac:dyDescent="0.15">
      <c r="A13" s="417"/>
      <c r="B13" s="420" t="s">
        <v>92</v>
      </c>
      <c r="C13" t="s">
        <v>3224</v>
      </c>
      <c r="D13" s="422"/>
      <c r="E13" t="s">
        <v>3253</v>
      </c>
      <c r="F13" s="422" t="str">
        <f>IF(wshyouka_owner1_NAME="","",wshyouka_owner1_NAME)</f>
        <v/>
      </c>
    </row>
    <row r="14" spans="1:6" ht="15" customHeight="1" x14ac:dyDescent="0.15">
      <c r="A14" s="417"/>
      <c r="B14" s="420" t="s">
        <v>157</v>
      </c>
      <c r="C14" t="s">
        <v>3225</v>
      </c>
      <c r="D14" s="422"/>
      <c r="E14" t="s">
        <v>3254</v>
      </c>
      <c r="F14" s="422" t="str">
        <f>IF(wshyouka_owner1_NAME_KANA="","",wshyouka_owner1_NAME_KANA)</f>
        <v/>
      </c>
    </row>
    <row r="15" spans="1:6" ht="15" customHeight="1" x14ac:dyDescent="0.15">
      <c r="A15" s="417"/>
      <c r="B15" s="420" t="s">
        <v>91</v>
      </c>
      <c r="C15" t="s">
        <v>3232</v>
      </c>
      <c r="D15" s="422"/>
      <c r="E15" t="s">
        <v>3255</v>
      </c>
      <c r="F15" s="422" t="str">
        <f>IF(wshyouka_owner1_JIMU_NAME="","",wshyouka_owner1_JIMU_NAME)</f>
        <v/>
      </c>
    </row>
    <row r="16" spans="1:6" ht="15" customHeight="1" x14ac:dyDescent="0.15">
      <c r="A16" s="417"/>
      <c r="B16" s="420" t="s">
        <v>155</v>
      </c>
      <c r="C16" t="s">
        <v>3233</v>
      </c>
      <c r="D16" s="422"/>
      <c r="E16" t="s">
        <v>3256</v>
      </c>
      <c r="F16" s="422" t="str">
        <f>IF(wshyouka_owner1_JIMU_NAME_KANA="","",wshyouka_owner1_JIMU_NAME_KANA)</f>
        <v/>
      </c>
    </row>
    <row r="17" spans="1:6" ht="15" customHeight="1" x14ac:dyDescent="0.15">
      <c r="A17" s="417"/>
      <c r="B17" s="420" t="s">
        <v>90</v>
      </c>
      <c r="C17" t="s">
        <v>3226</v>
      </c>
      <c r="D17" s="422"/>
      <c r="E17" t="s">
        <v>3257</v>
      </c>
      <c r="F17" s="422" t="str">
        <f>IF(wshyouka_owner1_POST="","",wshyouka_owner1_POST)</f>
        <v/>
      </c>
    </row>
    <row r="18" spans="1:6" ht="15" customHeight="1" x14ac:dyDescent="0.15">
      <c r="A18" s="417"/>
      <c r="B18" s="420" t="s">
        <v>156</v>
      </c>
      <c r="C18" t="s">
        <v>3227</v>
      </c>
      <c r="D18" s="422"/>
      <c r="E18" t="s">
        <v>3258</v>
      </c>
      <c r="F18" s="422" t="str">
        <f>IF(wshyouka_owner1_POST_KANA="","",wshyouka_owner1_POST_KANA)</f>
        <v/>
      </c>
    </row>
    <row r="19" spans="1:6" ht="15" customHeight="1" x14ac:dyDescent="0.15">
      <c r="A19" s="417"/>
      <c r="B19" s="420" t="s">
        <v>3282</v>
      </c>
      <c r="D19" s="422"/>
      <c r="E19" t="s">
        <v>3283</v>
      </c>
      <c r="F19" s="422" t="str">
        <f>IF(wshyouka_owner1_JIMU_NAME_KANA="",cst_wshyouka_owner1_NAME_KANA,IF(wshyouka_owner1_POST_KANA="",cst_wshyouka_owner1_NAME_KANA,cst_wshyouka_owner1_JIMU_NAME_KANA&amp;"　"&amp;cst_wshyouka_owner1_POST_KANA&amp;"　"&amp;cst_wshyouka_owner1_NAME_KANA))</f>
        <v/>
      </c>
    </row>
    <row r="20" spans="1:6" ht="15" customHeight="1" x14ac:dyDescent="0.15">
      <c r="A20" s="417"/>
      <c r="B20" s="420" t="s">
        <v>152</v>
      </c>
      <c r="D20" s="422"/>
      <c r="E20" t="s">
        <v>3285</v>
      </c>
      <c r="F20" s="422" t="str">
        <f>IF(wshyouka_owner1_POST&amp;wshyouka_owner1_NAME="","",IF(wshyouka_owner1_POST="",wshyouka_owner1_NAME,wshyouka_owner1_POST&amp;"　"&amp;wshyouka_owner1_NAME))</f>
        <v/>
      </c>
    </row>
    <row r="21" spans="1:6" ht="28.5" customHeight="1" x14ac:dyDescent="0.15">
      <c r="A21" s="417"/>
      <c r="B21" s="425" t="s">
        <v>151</v>
      </c>
      <c r="D21" s="422"/>
      <c r="E21" t="s">
        <v>3284</v>
      </c>
      <c r="F21" s="422" t="str">
        <f>wshyouka_owner1_JIMU_NAME&amp;IF(wshyouka_owner1_JIMU_NAME="","",CHAR(10))&amp;cst_wshyouka_owner1__space2</f>
        <v/>
      </c>
    </row>
    <row r="22" spans="1:6" ht="15" customHeight="1" x14ac:dyDescent="0.15">
      <c r="A22" s="417"/>
      <c r="B22" s="420" t="s">
        <v>5</v>
      </c>
      <c r="C22" t="s">
        <v>3228</v>
      </c>
      <c r="D22" s="422"/>
      <c r="E22" t="s">
        <v>3259</v>
      </c>
      <c r="F22" s="422" t="str">
        <f>IF(wshyouka_owner1_ZIP="","",wshyouka_owner1_ZIP)</f>
        <v/>
      </c>
    </row>
    <row r="23" spans="1:6" ht="15" customHeight="1" x14ac:dyDescent="0.15">
      <c r="A23" s="417"/>
      <c r="B23" s="420" t="s">
        <v>6</v>
      </c>
      <c r="C23" t="s">
        <v>3229</v>
      </c>
      <c r="D23" s="422"/>
      <c r="E23" t="s">
        <v>3260</v>
      </c>
      <c r="F23" s="422" t="str">
        <f>IF(wshyouka_owner1__address="","",wshyouka_owner1__address)</f>
        <v/>
      </c>
    </row>
    <row r="24" spans="1:6" ht="15" customHeight="1" x14ac:dyDescent="0.15">
      <c r="A24" s="417"/>
      <c r="B24" s="420" t="s">
        <v>7</v>
      </c>
      <c r="C24" t="s">
        <v>3241</v>
      </c>
      <c r="D24" s="422"/>
      <c r="E24" t="s">
        <v>3261</v>
      </c>
      <c r="F24" s="422" t="str">
        <f>IF(wshyouka_owner1_TEL="","",wshyouka_owner1_TEL)</f>
        <v/>
      </c>
    </row>
    <row r="25" spans="1:6" ht="15" customHeight="1" x14ac:dyDescent="0.15">
      <c r="A25" s="417"/>
      <c r="B25" s="420"/>
    </row>
    <row r="26" spans="1:6" ht="15" customHeight="1" x14ac:dyDescent="0.15">
      <c r="A26" s="419"/>
      <c r="B26" s="421"/>
    </row>
    <row r="27" spans="1:6" ht="15" customHeight="1" x14ac:dyDescent="0.15">
      <c r="A27" s="417" t="s">
        <v>3221</v>
      </c>
      <c r="B27" s="423"/>
    </row>
    <row r="28" spans="1:6" ht="15" customHeight="1" x14ac:dyDescent="0.15">
      <c r="A28" s="417"/>
      <c r="B28" s="420" t="s">
        <v>92</v>
      </c>
      <c r="C28" t="s">
        <v>3230</v>
      </c>
      <c r="D28" s="422"/>
      <c r="E28" t="s">
        <v>3262</v>
      </c>
      <c r="F28" s="422" t="str">
        <f>IF(wshyouka_owner2_NAME="","",wshyouka_owner2_NAME)</f>
        <v/>
      </c>
    </row>
    <row r="29" spans="1:6" ht="15" customHeight="1" x14ac:dyDescent="0.15">
      <c r="A29" s="417"/>
      <c r="B29" s="420" t="s">
        <v>157</v>
      </c>
      <c r="C29" t="s">
        <v>3231</v>
      </c>
      <c r="D29" s="422"/>
      <c r="E29" t="s">
        <v>3263</v>
      </c>
      <c r="F29" s="422" t="str">
        <f>IF(wshyouka_owner2_NAME_KANA="","",wshyouka_owner2_NAME_KANA)</f>
        <v/>
      </c>
    </row>
    <row r="30" spans="1:6" ht="15" customHeight="1" x14ac:dyDescent="0.15">
      <c r="A30" s="417"/>
      <c r="B30" s="420" t="s">
        <v>91</v>
      </c>
      <c r="C30" t="s">
        <v>3234</v>
      </c>
      <c r="D30" s="422"/>
      <c r="E30" t="s">
        <v>3264</v>
      </c>
      <c r="F30" s="422" t="str">
        <f>IF(wshyouka_owner2_JIMU_NAME="","",wshyouka_owner2_JIMU_NAME)</f>
        <v/>
      </c>
    </row>
    <row r="31" spans="1:6" ht="15" customHeight="1" x14ac:dyDescent="0.15">
      <c r="A31" s="417"/>
      <c r="B31" s="420" t="s">
        <v>155</v>
      </c>
      <c r="C31" t="s">
        <v>3235</v>
      </c>
      <c r="D31" s="422"/>
      <c r="E31" t="s">
        <v>3265</v>
      </c>
      <c r="F31" s="422" t="str">
        <f>IF(wshyouka_owner2_JIMU_NAME_KANA="","",wshyouka_owner2_JIMU_NAME_KANA)</f>
        <v/>
      </c>
    </row>
    <row r="32" spans="1:6" ht="15" customHeight="1" x14ac:dyDescent="0.15">
      <c r="A32" s="417"/>
      <c r="B32" s="420" t="s">
        <v>90</v>
      </c>
      <c r="C32" t="s">
        <v>3236</v>
      </c>
      <c r="D32" s="422"/>
      <c r="E32" t="s">
        <v>3266</v>
      </c>
      <c r="F32" s="422" t="str">
        <f>IF(wshyouka_owner2_POST="","",wshyouka_owner2_POST)</f>
        <v/>
      </c>
    </row>
    <row r="33" spans="1:6" ht="15" customHeight="1" x14ac:dyDescent="0.15">
      <c r="A33" s="417"/>
      <c r="B33" s="420" t="s">
        <v>156</v>
      </c>
      <c r="C33" t="s">
        <v>3237</v>
      </c>
      <c r="D33" s="422"/>
      <c r="E33" t="s">
        <v>3267</v>
      </c>
      <c r="F33" s="422" t="str">
        <f>IF(wshyouka_owner2_POST_KANA="","",wshyouka_owner2_POST_KANA)</f>
        <v/>
      </c>
    </row>
    <row r="34" spans="1:6" ht="15" customHeight="1" x14ac:dyDescent="0.15">
      <c r="A34" s="417"/>
      <c r="B34" s="420" t="s">
        <v>3282</v>
      </c>
      <c r="D34" s="422"/>
      <c r="E34" t="s">
        <v>3286</v>
      </c>
      <c r="F34" s="422" t="str">
        <f>IF(wshyouka_owner2_JIMU_NAME_KANA="",cst_wshyouka_owner2_NAME_KANA,IF(wshyouka_owner2_POST_KANA="",cst_wshyouka_owner2_NAME_KANA,cst_wshyouka_owner2_JIMU_NAME_KANA&amp;"　"&amp;cst_wshyouka_owner2_POST_KANA&amp;"　"&amp;cst_wshyouka_owner2_NAME_KANA))</f>
        <v/>
      </c>
    </row>
    <row r="35" spans="1:6" ht="15" customHeight="1" x14ac:dyDescent="0.15">
      <c r="A35" s="417"/>
      <c r="B35" s="420" t="s">
        <v>152</v>
      </c>
      <c r="D35" s="422"/>
      <c r="E35" t="s">
        <v>3287</v>
      </c>
      <c r="F35" s="422" t="str">
        <f>IF(wshyouka_owner2_POST&amp;wshyouka_owner2_NAME="","",IF(wshyouka_owner2_POST="",wshyouka_owner2_NAME,wshyouka_owner2_POST&amp;"　"&amp;wshyouka_owner2_NAME))</f>
        <v/>
      </c>
    </row>
    <row r="36" spans="1:6" ht="30" customHeight="1" x14ac:dyDescent="0.15">
      <c r="A36" s="417"/>
      <c r="B36" s="425" t="s">
        <v>151</v>
      </c>
      <c r="D36" s="422"/>
      <c r="E36" t="s">
        <v>3288</v>
      </c>
      <c r="F36" s="422" t="str">
        <f>wshyouka_owner2_JIMU_NAME&amp;IF(wshyouka_owner2_JIMU_NAME="","",CHAR(10))&amp;cst_wshyouka_owner2__space2</f>
        <v/>
      </c>
    </row>
    <row r="37" spans="1:6" ht="15" customHeight="1" x14ac:dyDescent="0.15">
      <c r="A37" s="417"/>
      <c r="B37" s="420" t="s">
        <v>5</v>
      </c>
      <c r="C37" t="s">
        <v>3238</v>
      </c>
      <c r="D37" s="422"/>
      <c r="E37" t="s">
        <v>3268</v>
      </c>
      <c r="F37" s="422" t="str">
        <f>IF(wshyouka_owner2_ZIP="","",wshyouka_owner2_ZIP)</f>
        <v/>
      </c>
    </row>
    <row r="38" spans="1:6" ht="15" customHeight="1" x14ac:dyDescent="0.15">
      <c r="A38" s="417"/>
      <c r="B38" s="420" t="s">
        <v>6</v>
      </c>
      <c r="C38" t="s">
        <v>3239</v>
      </c>
      <c r="D38" s="422"/>
      <c r="E38" t="s">
        <v>3269</v>
      </c>
      <c r="F38" s="422" t="str">
        <f>IF(wshyouka_owner2__address="","",wshyouka_owner2__address)</f>
        <v/>
      </c>
    </row>
    <row r="39" spans="1:6" ht="15" customHeight="1" x14ac:dyDescent="0.15">
      <c r="A39" s="417"/>
      <c r="B39" s="420" t="s">
        <v>7</v>
      </c>
      <c r="C39" t="s">
        <v>3240</v>
      </c>
      <c r="D39" s="422"/>
      <c r="E39" t="s">
        <v>3270</v>
      </c>
      <c r="F39" s="422" t="str">
        <f>IF(wshyouka_owner2_TEL="","",wshyouka_owner2_TEL)</f>
        <v/>
      </c>
    </row>
    <row r="40" spans="1:6" ht="15" customHeight="1" x14ac:dyDescent="0.15">
      <c r="A40" s="417"/>
      <c r="B40" s="420"/>
    </row>
    <row r="41" spans="1:6" ht="15" customHeight="1" x14ac:dyDescent="0.15">
      <c r="A41" s="417"/>
      <c r="B41" s="421"/>
    </row>
    <row r="42" spans="1:6" ht="15" customHeight="1" x14ac:dyDescent="0.15">
      <c r="A42" s="415" t="s">
        <v>100</v>
      </c>
      <c r="B42" s="423"/>
    </row>
    <row r="43" spans="1:6" ht="15" customHeight="1" x14ac:dyDescent="0.15">
      <c r="A43" s="417"/>
      <c r="B43" s="420" t="s">
        <v>92</v>
      </c>
      <c r="C43" t="s">
        <v>3242</v>
      </c>
      <c r="D43" s="422"/>
      <c r="E43" t="s">
        <v>3271</v>
      </c>
      <c r="F43" s="422" t="str">
        <f>IF(wshyouka_dairi1_NAME="","",wshyouka_dairi1_NAME)</f>
        <v/>
      </c>
    </row>
    <row r="44" spans="1:6" ht="15" customHeight="1" x14ac:dyDescent="0.15">
      <c r="A44" s="417"/>
      <c r="B44" s="420" t="s">
        <v>157</v>
      </c>
      <c r="C44" t="s">
        <v>3243</v>
      </c>
      <c r="D44" s="422"/>
      <c r="E44" t="s">
        <v>3272</v>
      </c>
      <c r="F44" s="422" t="str">
        <f>IF(wshyouka_dairi1_NAME_KANA="","",wshyouka_dairi1_NAME_KANA)</f>
        <v/>
      </c>
    </row>
    <row r="45" spans="1:6" ht="15" customHeight="1" x14ac:dyDescent="0.15">
      <c r="A45" s="417"/>
      <c r="B45" s="420" t="s">
        <v>91</v>
      </c>
      <c r="C45" t="s">
        <v>3244</v>
      </c>
      <c r="D45" s="422"/>
      <c r="E45" t="s">
        <v>3273</v>
      </c>
      <c r="F45" s="422" t="str">
        <f>IF(wshyouka_dairi1_JIMU_NAME="","",wshyouka_dairi1_JIMU_NAME)</f>
        <v/>
      </c>
    </row>
    <row r="46" spans="1:6" ht="15" customHeight="1" x14ac:dyDescent="0.15">
      <c r="A46" s="417"/>
      <c r="B46" s="420" t="s">
        <v>155</v>
      </c>
      <c r="C46" t="s">
        <v>3245</v>
      </c>
      <c r="D46" s="422"/>
      <c r="E46" t="s">
        <v>3274</v>
      </c>
      <c r="F46" s="422" t="str">
        <f>IF(wshyouka_dairi1_JIMU_NAME_KANA="","",wshyouka_dairi1_JIMU_NAME_KANA)</f>
        <v/>
      </c>
    </row>
    <row r="47" spans="1:6" ht="15" customHeight="1" x14ac:dyDescent="0.15">
      <c r="A47" s="417"/>
      <c r="B47" s="420" t="s">
        <v>90</v>
      </c>
      <c r="C47" t="s">
        <v>3246</v>
      </c>
      <c r="D47" s="422"/>
      <c r="E47" t="s">
        <v>3275</v>
      </c>
      <c r="F47" s="422" t="str">
        <f>IF(wshyouka_dairi1_POST="","",wshyouka_dairi1_POST)</f>
        <v/>
      </c>
    </row>
    <row r="48" spans="1:6" ht="15" customHeight="1" x14ac:dyDescent="0.15">
      <c r="A48" s="417"/>
      <c r="B48" s="420" t="s">
        <v>156</v>
      </c>
      <c r="C48" t="s">
        <v>3247</v>
      </c>
      <c r="D48" s="422"/>
      <c r="E48" t="s">
        <v>3276</v>
      </c>
      <c r="F48" s="422" t="str">
        <f>IF(wshyouka_dairi1_POST_KANA="","",wshyouka_dairi1_POST_KANA)</f>
        <v/>
      </c>
    </row>
    <row r="49" spans="1:6" ht="15" customHeight="1" x14ac:dyDescent="0.15">
      <c r="A49" s="417"/>
      <c r="B49" s="420" t="s">
        <v>5</v>
      </c>
      <c r="C49" t="s">
        <v>3248</v>
      </c>
      <c r="D49" s="422"/>
      <c r="E49" t="s">
        <v>3277</v>
      </c>
      <c r="F49" s="422" t="str">
        <f>IF(wshyouka_dairi1_ZIP="","",wshyouka_dairi1_ZIP)</f>
        <v/>
      </c>
    </row>
    <row r="50" spans="1:6" ht="15" customHeight="1" x14ac:dyDescent="0.15">
      <c r="A50" s="417"/>
      <c r="B50" s="420" t="s">
        <v>6</v>
      </c>
      <c r="C50" t="s">
        <v>3249</v>
      </c>
      <c r="D50" s="422"/>
      <c r="E50" t="s">
        <v>3278</v>
      </c>
      <c r="F50" s="422" t="str">
        <f>IF(wshyouka_dairi1__address="","",wshyouka_dairi1__address)</f>
        <v/>
      </c>
    </row>
    <row r="51" spans="1:6" ht="15" customHeight="1" x14ac:dyDescent="0.15">
      <c r="A51" s="417"/>
      <c r="B51" s="420" t="s">
        <v>7</v>
      </c>
      <c r="C51" t="s">
        <v>3250</v>
      </c>
      <c r="D51" s="422"/>
      <c r="E51" t="s">
        <v>3279</v>
      </c>
      <c r="F51" s="422" t="str">
        <f>IF(wshyouka_dairi1_TEL="","",wshyouka_dairi1_TEL)</f>
        <v/>
      </c>
    </row>
    <row r="52" spans="1:6" ht="15" customHeight="1" x14ac:dyDescent="0.15">
      <c r="A52" s="417"/>
      <c r="B52" s="420"/>
    </row>
    <row r="53" spans="1:6" ht="15" customHeight="1" x14ac:dyDescent="0.15">
      <c r="A53" s="417"/>
      <c r="B53" s="424"/>
    </row>
    <row r="54" spans="1:6" ht="15" customHeight="1" x14ac:dyDescent="0.15">
      <c r="A54" s="415" t="s">
        <v>3222</v>
      </c>
      <c r="B54" s="423"/>
    </row>
    <row r="55" spans="1:6" ht="15" customHeight="1" x14ac:dyDescent="0.15">
      <c r="A55" s="417"/>
      <c r="B55" s="420" t="s">
        <v>3223</v>
      </c>
      <c r="C55" t="s">
        <v>3251</v>
      </c>
      <c r="D55" s="422"/>
      <c r="E55" t="s">
        <v>3280</v>
      </c>
      <c r="F55" s="422" t="str">
        <f>IF(wshyouka_BUILD_NAME="","",wshyouka_BUILD_NAME)</f>
        <v/>
      </c>
    </row>
    <row r="56" spans="1:6" ht="15" customHeight="1" x14ac:dyDescent="0.15">
      <c r="A56" s="417"/>
      <c r="B56" s="424"/>
    </row>
    <row r="57" spans="1:6" ht="15" customHeight="1" x14ac:dyDescent="0.15">
      <c r="A57" s="415" t="s">
        <v>1082</v>
      </c>
      <c r="B57" s="423"/>
    </row>
    <row r="58" spans="1:6" ht="15" customHeight="1" x14ac:dyDescent="0.15">
      <c r="A58" s="417"/>
      <c r="B58" s="420" t="s">
        <v>770</v>
      </c>
      <c r="C58" t="s">
        <v>3252</v>
      </c>
      <c r="D58" s="422"/>
      <c r="E58" t="s">
        <v>3281</v>
      </c>
      <c r="F58" s="422" t="str">
        <f>IF(wshyouka_BUILD__address="","",wshyouka_BUILD__address)</f>
        <v/>
      </c>
    </row>
    <row r="59" spans="1:6" ht="15" customHeight="1" x14ac:dyDescent="0.15">
      <c r="A59" s="417"/>
      <c r="B59" s="420"/>
    </row>
    <row r="60" spans="1:6" ht="15" customHeight="1" x14ac:dyDescent="0.15">
      <c r="A60" s="417"/>
      <c r="B60" s="420"/>
    </row>
    <row r="61" spans="1:6" ht="15" customHeight="1" x14ac:dyDescent="0.15">
      <c r="A61" s="419"/>
      <c r="B61" s="421"/>
    </row>
  </sheetData>
  <phoneticPr fontId="3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3:J29"/>
  <sheetViews>
    <sheetView workbookViewId="0">
      <selection activeCell="J27" sqref="J27"/>
    </sheetView>
  </sheetViews>
  <sheetFormatPr defaultColWidth="9" defaultRowHeight="15" customHeight="1" x14ac:dyDescent="0.15"/>
  <cols>
    <col min="1" max="5" width="2.625" style="14" customWidth="1"/>
    <col min="6" max="7" width="10.625" style="14" customWidth="1"/>
    <col min="8" max="8" width="18.375" style="14" customWidth="1"/>
    <col min="9" max="12" width="20.625" style="14" customWidth="1"/>
    <col min="13" max="13" width="9" style="14" customWidth="1"/>
    <col min="14" max="16384" width="9" style="14"/>
  </cols>
  <sheetData>
    <row r="3" spans="1:9" ht="15" customHeight="1" x14ac:dyDescent="0.15">
      <c r="A3" s="14" t="s">
        <v>1352</v>
      </c>
    </row>
    <row r="4" spans="1:9" ht="15" customHeight="1" x14ac:dyDescent="0.15">
      <c r="H4" s="123" t="s">
        <v>1374</v>
      </c>
      <c r="I4" s="119" t="s">
        <v>1375</v>
      </c>
    </row>
    <row r="5" spans="1:9" ht="15" customHeight="1" x14ac:dyDescent="0.15">
      <c r="H5" s="116">
        <v>0</v>
      </c>
      <c r="I5" s="120" t="s">
        <v>1376</v>
      </c>
    </row>
    <row r="6" spans="1:9" ht="15" customHeight="1" x14ac:dyDescent="0.15">
      <c r="H6" s="117">
        <v>100</v>
      </c>
      <c r="I6" s="121" t="s">
        <v>1377</v>
      </c>
    </row>
    <row r="7" spans="1:9" ht="15" customHeight="1" x14ac:dyDescent="0.15">
      <c r="H7" s="117">
        <v>200</v>
      </c>
      <c r="I7" s="121" t="s">
        <v>1378</v>
      </c>
    </row>
    <row r="8" spans="1:9" ht="15" customHeight="1" x14ac:dyDescent="0.15">
      <c r="H8" s="117">
        <v>300</v>
      </c>
      <c r="I8" s="121" t="s">
        <v>1379</v>
      </c>
    </row>
    <row r="9" spans="1:9" ht="15" customHeight="1" x14ac:dyDescent="0.15">
      <c r="H9" s="118" t="s">
        <v>1355</v>
      </c>
      <c r="I9" s="122"/>
    </row>
    <row r="12" spans="1:9" ht="15" customHeight="1" x14ac:dyDescent="0.15">
      <c r="A12" s="14" t="s">
        <v>1352</v>
      </c>
    </row>
    <row r="13" spans="1:9" ht="15" customHeight="1" x14ac:dyDescent="0.15">
      <c r="H13" s="123" t="s">
        <v>1361</v>
      </c>
      <c r="I13" s="119" t="s">
        <v>1362</v>
      </c>
    </row>
    <row r="14" spans="1:9" ht="15" customHeight="1" x14ac:dyDescent="0.15">
      <c r="H14" s="116">
        <v>1</v>
      </c>
      <c r="I14" s="120" t="s">
        <v>1356</v>
      </c>
    </row>
    <row r="15" spans="1:9" ht="15" customHeight="1" x14ac:dyDescent="0.15">
      <c r="H15" s="117">
        <v>2</v>
      </c>
      <c r="I15" s="121" t="s">
        <v>1357</v>
      </c>
    </row>
    <row r="16" spans="1:9" ht="15" customHeight="1" x14ac:dyDescent="0.15">
      <c r="H16" s="117">
        <v>3</v>
      </c>
      <c r="I16" s="121" t="s">
        <v>1358</v>
      </c>
    </row>
    <row r="17" spans="1:10" ht="15" customHeight="1" x14ac:dyDescent="0.15">
      <c r="H17" s="117">
        <v>4</v>
      </c>
      <c r="I17" s="121" t="s">
        <v>1359</v>
      </c>
    </row>
    <row r="18" spans="1:10" ht="15" customHeight="1" x14ac:dyDescent="0.15">
      <c r="H18" s="117">
        <v>5</v>
      </c>
      <c r="I18" s="121" t="s">
        <v>1360</v>
      </c>
    </row>
    <row r="19" spans="1:10" ht="15" customHeight="1" x14ac:dyDescent="0.15">
      <c r="H19" s="118" t="s">
        <v>1355</v>
      </c>
      <c r="I19" s="122"/>
    </row>
    <row r="21" spans="1:10" ht="15" customHeight="1" x14ac:dyDescent="0.15">
      <c r="H21" s="53"/>
    </row>
    <row r="22" spans="1:10" ht="15" customHeight="1" x14ac:dyDescent="0.15">
      <c r="A22" s="14" t="s">
        <v>1350</v>
      </c>
    </row>
    <row r="23" spans="1:10" ht="15" customHeight="1" x14ac:dyDescent="0.15">
      <c r="H23" s="123" t="s">
        <v>1369</v>
      </c>
      <c r="I23" s="119" t="s">
        <v>1370</v>
      </c>
      <c r="J23" s="176" t="s">
        <v>1377</v>
      </c>
    </row>
    <row r="24" spans="1:10" ht="15" customHeight="1" x14ac:dyDescent="0.15">
      <c r="H24" s="116">
        <v>101</v>
      </c>
      <c r="I24" s="125" t="s">
        <v>1368</v>
      </c>
      <c r="J24" s="173">
        <v>1</v>
      </c>
    </row>
    <row r="25" spans="1:10" ht="15" customHeight="1" x14ac:dyDescent="0.15">
      <c r="H25" s="117">
        <v>102</v>
      </c>
      <c r="I25" s="126" t="s">
        <v>1364</v>
      </c>
      <c r="J25" s="174">
        <v>1</v>
      </c>
    </row>
    <row r="26" spans="1:10" ht="15" customHeight="1" x14ac:dyDescent="0.15">
      <c r="H26" s="117">
        <v>103</v>
      </c>
      <c r="I26" s="126" t="s">
        <v>1365</v>
      </c>
      <c r="J26" s="174">
        <v>3</v>
      </c>
    </row>
    <row r="27" spans="1:10" ht="15" customHeight="1" x14ac:dyDescent="0.15">
      <c r="H27" s="117">
        <v>104</v>
      </c>
      <c r="I27" s="126" t="s">
        <v>1366</v>
      </c>
      <c r="J27" s="174">
        <v>4</v>
      </c>
    </row>
    <row r="28" spans="1:10" ht="15" customHeight="1" x14ac:dyDescent="0.15">
      <c r="H28" s="117">
        <v>999</v>
      </c>
      <c r="I28" s="126" t="s">
        <v>1367</v>
      </c>
      <c r="J28" s="174"/>
    </row>
    <row r="29" spans="1:10" ht="15" customHeight="1" x14ac:dyDescent="0.15">
      <c r="H29" s="124" t="s">
        <v>1355</v>
      </c>
      <c r="I29" s="127"/>
      <c r="J29" s="175"/>
    </row>
  </sheetData>
  <phoneticPr fontId="3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H23"/>
  <sheetViews>
    <sheetView workbookViewId="0">
      <selection activeCell="F18" sqref="F18"/>
    </sheetView>
  </sheetViews>
  <sheetFormatPr defaultColWidth="9" defaultRowHeight="13.5" x14ac:dyDescent="0.15"/>
  <cols>
    <col min="1" max="1" width="16.125" customWidth="1"/>
    <col min="4" max="4" width="16.875" style="325" customWidth="1"/>
    <col min="5" max="5" width="14.75" customWidth="1"/>
    <col min="6" max="7" width="24.875" customWidth="1"/>
    <col min="8" max="8" width="35.25" customWidth="1"/>
  </cols>
  <sheetData>
    <row r="1" spans="1:8" x14ac:dyDescent="0.15">
      <c r="A1" s="14" t="s">
        <v>2863</v>
      </c>
      <c r="B1" s="14"/>
      <c r="C1" s="14"/>
      <c r="D1" s="311"/>
      <c r="E1" s="14"/>
      <c r="F1" s="14"/>
      <c r="G1" s="14"/>
    </row>
    <row r="2" spans="1:8" x14ac:dyDescent="0.15">
      <c r="A2" s="312" t="s">
        <v>2864</v>
      </c>
      <c r="B2" s="312"/>
      <c r="C2" s="312" t="s">
        <v>2865</v>
      </c>
      <c r="D2" s="313" t="s">
        <v>2866</v>
      </c>
      <c r="E2" s="312" t="s">
        <v>2867</v>
      </c>
      <c r="F2" s="312" t="s">
        <v>91</v>
      </c>
      <c r="G2" s="312" t="s">
        <v>2868</v>
      </c>
      <c r="H2" s="174" t="s">
        <v>2869</v>
      </c>
    </row>
    <row r="3" spans="1:8" x14ac:dyDescent="0.15">
      <c r="A3" s="312" t="s">
        <v>2870</v>
      </c>
      <c r="B3" s="312"/>
      <c r="C3" s="312">
        <v>1</v>
      </c>
      <c r="D3" s="346">
        <v>23132</v>
      </c>
      <c r="E3" s="312"/>
      <c r="F3" s="314" t="s">
        <v>3058</v>
      </c>
      <c r="G3" s="312" t="s">
        <v>3059</v>
      </c>
      <c r="H3" s="174"/>
    </row>
    <row r="4" spans="1:8" x14ac:dyDescent="0.15">
      <c r="A4" s="312"/>
      <c r="B4" s="312"/>
      <c r="C4" s="312">
        <v>2</v>
      </c>
      <c r="D4" s="346">
        <v>42150</v>
      </c>
      <c r="E4" s="312"/>
      <c r="F4" s="314" t="s">
        <v>3058</v>
      </c>
      <c r="G4" s="312" t="s">
        <v>3060</v>
      </c>
      <c r="H4" s="174"/>
    </row>
    <row r="5" spans="1:8" x14ac:dyDescent="0.15">
      <c r="A5" s="312"/>
      <c r="B5" s="312"/>
      <c r="C5" s="312">
        <v>3</v>
      </c>
      <c r="D5" s="346">
        <v>43248</v>
      </c>
      <c r="E5" s="312"/>
      <c r="F5" s="314" t="s">
        <v>3058</v>
      </c>
      <c r="G5" s="312" t="s">
        <v>3061</v>
      </c>
    </row>
    <row r="6" spans="1:8" x14ac:dyDescent="0.15">
      <c r="A6" s="312"/>
      <c r="B6" s="312"/>
      <c r="C6" s="312">
        <v>4</v>
      </c>
      <c r="D6" s="313"/>
      <c r="E6" s="312"/>
      <c r="F6" s="314"/>
      <c r="G6" s="312"/>
    </row>
    <row r="7" spans="1:8" x14ac:dyDescent="0.15">
      <c r="A7" s="312"/>
      <c r="B7" s="312"/>
      <c r="C7" s="312">
        <v>5</v>
      </c>
      <c r="D7" s="313"/>
      <c r="E7" s="312"/>
      <c r="F7" s="314"/>
      <c r="G7" s="312"/>
    </row>
    <row r="8" spans="1:8" x14ac:dyDescent="0.15">
      <c r="A8" s="312"/>
      <c r="B8" s="312"/>
      <c r="C8" s="312">
        <v>6</v>
      </c>
      <c r="D8" s="313"/>
      <c r="E8" s="312"/>
      <c r="F8" s="314"/>
      <c r="G8" s="312"/>
    </row>
    <row r="9" spans="1:8" x14ac:dyDescent="0.15">
      <c r="A9" s="312"/>
      <c r="B9" s="312"/>
      <c r="C9" s="312">
        <v>7</v>
      </c>
      <c r="D9" s="313"/>
      <c r="E9" s="312"/>
      <c r="F9" s="314"/>
      <c r="G9" s="312"/>
    </row>
    <row r="10" spans="1:8" x14ac:dyDescent="0.15">
      <c r="A10" s="312"/>
      <c r="B10" s="312"/>
      <c r="C10" s="312">
        <v>8</v>
      </c>
      <c r="D10" s="313"/>
      <c r="E10" s="312"/>
      <c r="F10" s="314"/>
      <c r="G10" s="312"/>
    </row>
    <row r="11" spans="1:8" x14ac:dyDescent="0.15">
      <c r="A11" s="312"/>
      <c r="B11" s="312"/>
      <c r="C11" s="312">
        <v>9</v>
      </c>
      <c r="D11" s="313"/>
      <c r="E11" s="312"/>
      <c r="F11" s="314"/>
      <c r="G11" s="312"/>
    </row>
    <row r="12" spans="1:8" x14ac:dyDescent="0.15">
      <c r="A12" s="312"/>
      <c r="B12" s="312"/>
      <c r="C12" s="312">
        <v>10</v>
      </c>
      <c r="D12" s="313"/>
      <c r="E12" s="312"/>
      <c r="F12" s="314"/>
      <c r="G12" s="312"/>
    </row>
    <row r="16" spans="1:8" x14ac:dyDescent="0.15">
      <c r="A16" s="315" t="s">
        <v>2871</v>
      </c>
      <c r="B16" s="316"/>
      <c r="C16" s="316"/>
      <c r="D16" s="317"/>
      <c r="E16" s="315" t="s">
        <v>2872</v>
      </c>
      <c r="F16" s="316"/>
      <c r="G16" s="318"/>
    </row>
    <row r="17" spans="1:8" x14ac:dyDescent="0.15">
      <c r="A17" s="173" t="s">
        <v>2873</v>
      </c>
      <c r="B17" s="319" t="s">
        <v>2874</v>
      </c>
      <c r="C17" s="173" t="s">
        <v>2875</v>
      </c>
      <c r="D17" s="320" t="s">
        <v>2570</v>
      </c>
      <c r="E17" s="173" t="s">
        <v>2867</v>
      </c>
      <c r="F17" s="173" t="s">
        <v>91</v>
      </c>
      <c r="G17" s="173" t="s">
        <v>2868</v>
      </c>
      <c r="H17" t="s">
        <v>2876</v>
      </c>
    </row>
    <row r="18" spans="1:8" x14ac:dyDescent="0.15">
      <c r="A18" s="321" t="s">
        <v>457</v>
      </c>
      <c r="B18" s="321">
        <f ca="1">C18</f>
        <v>3</v>
      </c>
      <c r="C18" s="321">
        <f ca="1">IF(ISNA(MATCH(D18,$D$3:$D$12,0)),MATCH(D18,$D$3:$D$12,1),MATCH(D18,$D$3:$D$12,0))</f>
        <v>3</v>
      </c>
      <c r="D18" s="322">
        <f ca="1">TODAY()</f>
        <v>45762</v>
      </c>
      <c r="E18" s="323" t="str">
        <f ca="1">IF(OFFSET(dAName!$E$2,dAName!B18,0,1,1)="","",OFFSET(dAName!$E$2,dAName!B18,0,1,1))</f>
        <v/>
      </c>
      <c r="F18" s="323" t="str">
        <f ca="1">IF(OFFSET(dAName!$F$2,dAName!$B18,0,1,1)="","",OFFSET(dAName!$F$2,dAName!$B18,0,1,1))</f>
        <v>株式会社　香川県建築住宅センター</v>
      </c>
      <c r="G18" s="323" t="str">
        <f ca="1">IF(OFFSET(dAName!$G$2,dAName!$B18,0,1,1)="","",OFFSET(dAName!$G$2,dAName!$B18,0,1,1))</f>
        <v>代表取締役　　北　谷　　智　志</v>
      </c>
      <c r="H18" s="324" t="str">
        <f ca="1">IF(OFFSET(dAName!$H$2,dAName!$B18,0,1,1)="","",OFFSET(dAName!$H$2,dAName!$B18,0,1,1))</f>
        <v/>
      </c>
    </row>
    <row r="19" spans="1:8" x14ac:dyDescent="0.15">
      <c r="A19" s="321"/>
      <c r="B19" s="321"/>
      <c r="C19" s="321"/>
      <c r="D19" s="322"/>
      <c r="E19" s="321"/>
      <c r="F19" s="321"/>
      <c r="G19" s="321"/>
    </row>
    <row r="23" spans="1:8" x14ac:dyDescent="0.15">
      <c r="E23" s="326"/>
    </row>
  </sheetData>
  <phoneticPr fontId="3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AV74"/>
  <sheetViews>
    <sheetView topLeftCell="AE1" workbookViewId="0">
      <pane ySplit="2" topLeftCell="A3" activePane="bottomLeft" state="frozen"/>
      <selection pane="bottomLeft" activeCell="AU3" sqref="AU3"/>
    </sheetView>
  </sheetViews>
  <sheetFormatPr defaultColWidth="9"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3" customWidth="1"/>
    <col min="34" max="34" width="23.875" customWidth="1"/>
    <col min="35" max="35" width="7.375" style="3" customWidth="1"/>
    <col min="37" max="37" width="9" style="3" customWidth="1"/>
    <col min="41" max="41" width="8" customWidth="1"/>
    <col min="42" max="42" width="6.75" customWidth="1"/>
  </cols>
  <sheetData>
    <row r="1" spans="1:48" x14ac:dyDescent="0.15">
      <c r="A1" t="s">
        <v>172</v>
      </c>
      <c r="E1" t="s">
        <v>173</v>
      </c>
      <c r="R1" t="s">
        <v>174</v>
      </c>
      <c r="AO1" t="s">
        <v>175</v>
      </c>
      <c r="AQ1" t="s">
        <v>3294</v>
      </c>
    </row>
    <row r="2" spans="1:48" x14ac:dyDescent="0.15">
      <c r="A2" s="4" t="s">
        <v>176</v>
      </c>
      <c r="B2" s="4" t="s">
        <v>177</v>
      </c>
      <c r="C2" s="4" t="s">
        <v>44</v>
      </c>
      <c r="D2" s="4" t="s">
        <v>101</v>
      </c>
      <c r="E2" s="5" t="s">
        <v>178</v>
      </c>
      <c r="F2" s="5" t="s">
        <v>179</v>
      </c>
      <c r="G2" s="5" t="s">
        <v>180</v>
      </c>
      <c r="H2" s="5" t="s">
        <v>181</v>
      </c>
      <c r="I2" s="5" t="s">
        <v>182</v>
      </c>
      <c r="J2" s="5" t="s">
        <v>183</v>
      </c>
      <c r="K2" s="5" t="s">
        <v>184</v>
      </c>
      <c r="L2" s="5" t="s">
        <v>185</v>
      </c>
      <c r="M2" s="5" t="s">
        <v>186</v>
      </c>
      <c r="N2" s="5" t="s">
        <v>187</v>
      </c>
      <c r="O2" s="5" t="s">
        <v>188</v>
      </c>
      <c r="P2" s="5" t="s">
        <v>189</v>
      </c>
      <c r="Q2" s="5" t="s">
        <v>190</v>
      </c>
      <c r="R2" s="6" t="s">
        <v>178</v>
      </c>
      <c r="S2" s="6" t="s">
        <v>179</v>
      </c>
      <c r="T2" s="6" t="s">
        <v>180</v>
      </c>
      <c r="U2" s="6" t="s">
        <v>181</v>
      </c>
      <c r="V2" s="6" t="s">
        <v>182</v>
      </c>
      <c r="W2" s="6" t="s">
        <v>183</v>
      </c>
      <c r="X2" s="6" t="s">
        <v>184</v>
      </c>
      <c r="Y2" s="6" t="s">
        <v>185</v>
      </c>
      <c r="Z2" s="6" t="s">
        <v>186</v>
      </c>
      <c r="AA2" s="6" t="s">
        <v>187</v>
      </c>
      <c r="AB2" s="6" t="s">
        <v>188</v>
      </c>
      <c r="AC2" s="6" t="s">
        <v>189</v>
      </c>
      <c r="AD2" s="6" t="s">
        <v>190</v>
      </c>
      <c r="AE2" s="4" t="s">
        <v>191</v>
      </c>
      <c r="AF2" s="4" t="s">
        <v>192</v>
      </c>
      <c r="AG2" s="4" t="s">
        <v>193</v>
      </c>
      <c r="AH2" s="4" t="s">
        <v>194</v>
      </c>
      <c r="AI2" s="4" t="s">
        <v>195</v>
      </c>
      <c r="AJ2" s="4" t="s">
        <v>196</v>
      </c>
      <c r="AK2" s="4" t="s">
        <v>197</v>
      </c>
      <c r="AL2" s="4" t="s">
        <v>198</v>
      </c>
      <c r="AM2" s="4" t="s">
        <v>199</v>
      </c>
      <c r="AN2" s="4" t="s">
        <v>200</v>
      </c>
      <c r="AO2" s="5" t="s">
        <v>95</v>
      </c>
      <c r="AP2" s="5" t="s">
        <v>95</v>
      </c>
      <c r="AQ2" s="427" t="s">
        <v>95</v>
      </c>
      <c r="AR2" s="427" t="s">
        <v>95</v>
      </c>
      <c r="AS2" s="427" t="s">
        <v>3295</v>
      </c>
      <c r="AT2" s="427" t="s">
        <v>3296</v>
      </c>
      <c r="AU2" s="427" t="s">
        <v>3297</v>
      </c>
      <c r="AV2" s="427" t="s">
        <v>80</v>
      </c>
    </row>
    <row r="3" spans="1:48" x14ac:dyDescent="0.15">
      <c r="A3" t="s">
        <v>201</v>
      </c>
      <c r="B3" t="s">
        <v>202</v>
      </c>
      <c r="C3" t="s">
        <v>202</v>
      </c>
      <c r="D3" t="s">
        <v>203</v>
      </c>
      <c r="E3">
        <v>0.5</v>
      </c>
      <c r="F3">
        <v>0.5</v>
      </c>
      <c r="G3">
        <v>1</v>
      </c>
      <c r="H3">
        <v>1</v>
      </c>
      <c r="I3">
        <v>1</v>
      </c>
      <c r="J3">
        <v>1</v>
      </c>
      <c r="K3">
        <v>1</v>
      </c>
      <c r="L3">
        <v>1</v>
      </c>
      <c r="M3">
        <v>2</v>
      </c>
      <c r="N3">
        <v>1</v>
      </c>
      <c r="O3">
        <v>1</v>
      </c>
      <c r="P3">
        <v>1</v>
      </c>
      <c r="Q3">
        <v>0.5</v>
      </c>
      <c r="R3">
        <v>0.3</v>
      </c>
      <c r="S3">
        <v>0.3</v>
      </c>
      <c r="T3">
        <v>0.3</v>
      </c>
      <c r="U3">
        <v>0.3</v>
      </c>
      <c r="V3">
        <v>0.5</v>
      </c>
      <c r="W3">
        <v>0.5</v>
      </c>
      <c r="X3">
        <v>0.5</v>
      </c>
      <c r="Y3">
        <v>0.6</v>
      </c>
      <c r="Z3">
        <v>0.8</v>
      </c>
      <c r="AA3">
        <v>0.5</v>
      </c>
      <c r="AB3">
        <v>0.5</v>
      </c>
      <c r="AC3">
        <v>0.3</v>
      </c>
      <c r="AD3">
        <v>0.3</v>
      </c>
      <c r="AE3" t="s">
        <v>178</v>
      </c>
      <c r="AF3" t="s">
        <v>44</v>
      </c>
      <c r="AG3" s="3" t="s">
        <v>204</v>
      </c>
      <c r="AH3" t="s">
        <v>112</v>
      </c>
      <c r="AI3" s="3" t="s">
        <v>205</v>
      </c>
      <c r="AJ3" t="s">
        <v>206</v>
      </c>
      <c r="AK3" s="3" t="s">
        <v>207</v>
      </c>
      <c r="AL3" t="s">
        <v>208</v>
      </c>
      <c r="AM3" s="3" t="s">
        <v>199</v>
      </c>
      <c r="AN3" t="s">
        <v>209</v>
      </c>
      <c r="AO3" s="3" t="s">
        <v>210</v>
      </c>
      <c r="AP3" t="s">
        <v>2951</v>
      </c>
      <c r="AQ3" t="s">
        <v>210</v>
      </c>
      <c r="AR3" t="s">
        <v>3298</v>
      </c>
      <c r="AS3" t="s">
        <v>204</v>
      </c>
      <c r="AT3" t="s">
        <v>112</v>
      </c>
      <c r="AU3" t="s">
        <v>210</v>
      </c>
      <c r="AV3" t="s">
        <v>44</v>
      </c>
    </row>
    <row r="4" spans="1:48" x14ac:dyDescent="0.15">
      <c r="B4" t="s">
        <v>211</v>
      </c>
      <c r="C4" t="s">
        <v>211</v>
      </c>
      <c r="D4" t="s">
        <v>201</v>
      </c>
      <c r="E4">
        <v>0.6</v>
      </c>
      <c r="F4">
        <v>0.6</v>
      </c>
      <c r="G4">
        <v>1.5</v>
      </c>
      <c r="H4">
        <v>1.5</v>
      </c>
      <c r="I4">
        <v>1.5</v>
      </c>
      <c r="J4">
        <v>1.5</v>
      </c>
      <c r="K4">
        <v>1.5</v>
      </c>
      <c r="L4">
        <v>1.5</v>
      </c>
      <c r="M4">
        <v>3</v>
      </c>
      <c r="N4">
        <v>1.5</v>
      </c>
      <c r="O4">
        <v>1.5</v>
      </c>
      <c r="P4">
        <v>1.5</v>
      </c>
      <c r="Q4">
        <v>0.8</v>
      </c>
      <c r="R4">
        <v>0.4</v>
      </c>
      <c r="S4">
        <v>0.4</v>
      </c>
      <c r="T4">
        <v>0.4</v>
      </c>
      <c r="U4">
        <v>0.4</v>
      </c>
      <c r="V4">
        <v>0.6</v>
      </c>
      <c r="W4">
        <v>0.6</v>
      </c>
      <c r="X4">
        <v>0.6</v>
      </c>
      <c r="Y4">
        <v>0.8</v>
      </c>
      <c r="AA4">
        <v>0.6</v>
      </c>
      <c r="AB4">
        <v>0.6</v>
      </c>
      <c r="AC4">
        <v>0.4</v>
      </c>
      <c r="AD4">
        <v>0.4</v>
      </c>
      <c r="AE4" t="s">
        <v>179</v>
      </c>
      <c r="AF4" t="s">
        <v>212</v>
      </c>
      <c r="AG4" s="3" t="s">
        <v>213</v>
      </c>
      <c r="AH4" t="s">
        <v>214</v>
      </c>
      <c r="AI4" s="3" t="s">
        <v>215</v>
      </c>
      <c r="AJ4" t="s">
        <v>216</v>
      </c>
      <c r="AK4" s="3" t="s">
        <v>217</v>
      </c>
      <c r="AL4" t="s">
        <v>218</v>
      </c>
      <c r="AM4" s="3" t="s">
        <v>219</v>
      </c>
      <c r="AN4" t="s">
        <v>220</v>
      </c>
      <c r="AO4" s="3" t="s">
        <v>221</v>
      </c>
      <c r="AP4" t="s">
        <v>2892</v>
      </c>
      <c r="AQ4" t="s">
        <v>221</v>
      </c>
      <c r="AR4" t="s">
        <v>3299</v>
      </c>
      <c r="AS4" t="s">
        <v>213</v>
      </c>
      <c r="AT4" t="s">
        <v>214</v>
      </c>
      <c r="AU4" t="s">
        <v>221</v>
      </c>
      <c r="AV4" t="s">
        <v>253</v>
      </c>
    </row>
    <row r="5" spans="1:48" x14ac:dyDescent="0.15">
      <c r="B5" t="s">
        <v>222</v>
      </c>
      <c r="C5" t="s">
        <v>222</v>
      </c>
      <c r="D5" t="s">
        <v>202</v>
      </c>
      <c r="E5">
        <v>0.8</v>
      </c>
      <c r="F5">
        <v>0.8</v>
      </c>
      <c r="G5">
        <v>2</v>
      </c>
      <c r="H5">
        <v>2</v>
      </c>
      <c r="I5">
        <v>2</v>
      </c>
      <c r="J5">
        <v>2</v>
      </c>
      <c r="K5">
        <v>2</v>
      </c>
      <c r="L5">
        <v>2</v>
      </c>
      <c r="M5">
        <v>4</v>
      </c>
      <c r="N5">
        <v>2</v>
      </c>
      <c r="O5">
        <v>2</v>
      </c>
      <c r="P5">
        <v>2</v>
      </c>
      <c r="Q5">
        <v>1</v>
      </c>
      <c r="R5">
        <v>0.5</v>
      </c>
      <c r="S5">
        <v>0.5</v>
      </c>
      <c r="T5">
        <v>0.5</v>
      </c>
      <c r="U5">
        <v>0.5</v>
      </c>
      <c r="V5">
        <v>0.8</v>
      </c>
      <c r="W5">
        <v>0.8</v>
      </c>
      <c r="X5">
        <v>0.8</v>
      </c>
      <c r="AA5">
        <v>0.8</v>
      </c>
      <c r="AC5">
        <v>0.5</v>
      </c>
      <c r="AD5">
        <v>0.5</v>
      </c>
      <c r="AE5" t="s">
        <v>180</v>
      </c>
      <c r="AF5" t="s">
        <v>223</v>
      </c>
      <c r="AG5" s="3" t="s">
        <v>224</v>
      </c>
      <c r="AH5" t="s">
        <v>225</v>
      </c>
      <c r="AI5" s="3" t="s">
        <v>226</v>
      </c>
      <c r="AJ5" t="s">
        <v>227</v>
      </c>
      <c r="AK5" s="3" t="s">
        <v>228</v>
      </c>
      <c r="AL5" t="s">
        <v>229</v>
      </c>
      <c r="AM5" s="3" t="s">
        <v>230</v>
      </c>
      <c r="AN5" t="s">
        <v>231</v>
      </c>
      <c r="AO5" s="3" t="s">
        <v>232</v>
      </c>
      <c r="AP5" t="s">
        <v>2952</v>
      </c>
      <c r="AQ5">
        <v>10</v>
      </c>
      <c r="AR5" t="s">
        <v>3300</v>
      </c>
      <c r="AS5" t="s">
        <v>224</v>
      </c>
      <c r="AT5" t="s">
        <v>225</v>
      </c>
      <c r="AU5" t="s">
        <v>232</v>
      </c>
      <c r="AV5" t="s">
        <v>243</v>
      </c>
    </row>
    <row r="6" spans="1:48" x14ac:dyDescent="0.15">
      <c r="B6" t="s">
        <v>233</v>
      </c>
      <c r="C6" t="s">
        <v>233</v>
      </c>
      <c r="D6" t="s">
        <v>211</v>
      </c>
      <c r="E6">
        <v>1</v>
      </c>
      <c r="F6">
        <v>1</v>
      </c>
      <c r="G6">
        <v>3</v>
      </c>
      <c r="H6">
        <v>3</v>
      </c>
      <c r="I6">
        <v>3</v>
      </c>
      <c r="J6">
        <v>3</v>
      </c>
      <c r="K6">
        <v>3</v>
      </c>
      <c r="L6">
        <v>3</v>
      </c>
      <c r="M6">
        <v>5</v>
      </c>
      <c r="N6">
        <v>3</v>
      </c>
      <c r="O6">
        <v>3</v>
      </c>
      <c r="P6">
        <v>3</v>
      </c>
      <c r="Q6">
        <v>2</v>
      </c>
      <c r="R6">
        <v>0.6</v>
      </c>
      <c r="S6">
        <v>0.6</v>
      </c>
      <c r="T6">
        <v>0.6</v>
      </c>
      <c r="U6">
        <v>0.6</v>
      </c>
      <c r="AC6">
        <v>0.6</v>
      </c>
      <c r="AD6">
        <v>0.6</v>
      </c>
      <c r="AE6" t="s">
        <v>181</v>
      </c>
      <c r="AF6" t="s">
        <v>49</v>
      </c>
      <c r="AG6" s="3" t="s">
        <v>234</v>
      </c>
      <c r="AH6" t="s">
        <v>235</v>
      </c>
      <c r="AI6" s="3" t="s">
        <v>236</v>
      </c>
      <c r="AJ6" t="s">
        <v>237</v>
      </c>
      <c r="AK6" s="3" t="s">
        <v>238</v>
      </c>
      <c r="AL6" t="s">
        <v>239</v>
      </c>
      <c r="AM6" s="3" t="s">
        <v>240</v>
      </c>
      <c r="AO6" s="3" t="s">
        <v>241</v>
      </c>
      <c r="AP6" t="s">
        <v>2894</v>
      </c>
      <c r="AQ6">
        <v>11</v>
      </c>
      <c r="AR6" t="s">
        <v>3301</v>
      </c>
      <c r="AS6" t="s">
        <v>234</v>
      </c>
      <c r="AT6" t="s">
        <v>235</v>
      </c>
      <c r="AU6" t="s">
        <v>241</v>
      </c>
      <c r="AV6" t="s">
        <v>49</v>
      </c>
    </row>
    <row r="7" spans="1:48" x14ac:dyDescent="0.15">
      <c r="B7" t="s">
        <v>242</v>
      </c>
      <c r="C7" t="s">
        <v>242</v>
      </c>
      <c r="D7" t="s">
        <v>222</v>
      </c>
      <c r="E7">
        <v>1.5</v>
      </c>
      <c r="F7">
        <v>1.5</v>
      </c>
      <c r="G7">
        <v>4</v>
      </c>
      <c r="H7">
        <v>4</v>
      </c>
      <c r="I7">
        <v>4</v>
      </c>
      <c r="J7">
        <v>4</v>
      </c>
      <c r="K7">
        <v>4</v>
      </c>
      <c r="L7">
        <v>4</v>
      </c>
      <c r="M7">
        <v>6</v>
      </c>
      <c r="N7">
        <v>4</v>
      </c>
      <c r="O7">
        <v>4</v>
      </c>
      <c r="P7">
        <v>4</v>
      </c>
      <c r="Q7">
        <v>3</v>
      </c>
      <c r="AD7">
        <v>0.7</v>
      </c>
      <c r="AE7" t="s">
        <v>182</v>
      </c>
      <c r="AF7" t="s">
        <v>243</v>
      </c>
      <c r="AG7" s="3" t="s">
        <v>244</v>
      </c>
      <c r="AH7" t="s">
        <v>245</v>
      </c>
      <c r="AI7" s="3" t="s">
        <v>246</v>
      </c>
      <c r="AJ7" t="s">
        <v>247</v>
      </c>
      <c r="AK7" s="3" t="s">
        <v>248</v>
      </c>
      <c r="AL7" t="s">
        <v>249</v>
      </c>
      <c r="AM7" s="3" t="s">
        <v>250</v>
      </c>
      <c r="AO7" s="3" t="s">
        <v>251</v>
      </c>
      <c r="AP7" t="s">
        <v>2895</v>
      </c>
      <c r="AQ7">
        <v>12</v>
      </c>
      <c r="AR7" t="s">
        <v>3302</v>
      </c>
      <c r="AS7" t="s">
        <v>244</v>
      </c>
      <c r="AT7" t="s">
        <v>245</v>
      </c>
      <c r="AU7" t="s">
        <v>251</v>
      </c>
      <c r="AV7" t="s">
        <v>3303</v>
      </c>
    </row>
    <row r="8" spans="1:48" x14ac:dyDescent="0.15">
      <c r="B8" t="s">
        <v>252</v>
      </c>
      <c r="C8" t="s">
        <v>252</v>
      </c>
      <c r="D8" t="s">
        <v>233</v>
      </c>
      <c r="E8">
        <v>2</v>
      </c>
      <c r="F8">
        <v>2</v>
      </c>
      <c r="G8">
        <v>5</v>
      </c>
      <c r="H8">
        <v>5</v>
      </c>
      <c r="I8">
        <v>5</v>
      </c>
      <c r="J8">
        <v>5</v>
      </c>
      <c r="K8">
        <v>5</v>
      </c>
      <c r="L8">
        <v>5</v>
      </c>
      <c r="M8">
        <v>7</v>
      </c>
      <c r="N8">
        <v>5</v>
      </c>
      <c r="Q8">
        <v>4</v>
      </c>
      <c r="AE8" t="s">
        <v>183</v>
      </c>
      <c r="AF8" t="s">
        <v>253</v>
      </c>
      <c r="AG8" s="3" t="s">
        <v>254</v>
      </c>
      <c r="AH8" t="s">
        <v>255</v>
      </c>
      <c r="AI8" s="3" t="s">
        <v>256</v>
      </c>
      <c r="AJ8" t="s">
        <v>257</v>
      </c>
      <c r="AK8" s="3" t="s">
        <v>258</v>
      </c>
      <c r="AL8" t="s">
        <v>1</v>
      </c>
      <c r="AM8" s="3" t="s">
        <v>1</v>
      </c>
      <c r="AO8">
        <v>11</v>
      </c>
      <c r="AP8" t="s">
        <v>2896</v>
      </c>
      <c r="AQ8">
        <v>13</v>
      </c>
      <c r="AR8" t="s">
        <v>3304</v>
      </c>
      <c r="AS8" t="s">
        <v>260</v>
      </c>
      <c r="AT8" t="s">
        <v>261</v>
      </c>
      <c r="AU8" t="s">
        <v>3432</v>
      </c>
      <c r="AV8" t="s">
        <v>1</v>
      </c>
    </row>
    <row r="9" spans="1:48" x14ac:dyDescent="0.15">
      <c r="B9" t="s">
        <v>259</v>
      </c>
      <c r="C9" t="s">
        <v>259</v>
      </c>
      <c r="D9" t="s">
        <v>242</v>
      </c>
      <c r="M9">
        <v>8</v>
      </c>
      <c r="AE9" t="s">
        <v>184</v>
      </c>
      <c r="AG9" s="3" t="s">
        <v>260</v>
      </c>
      <c r="AH9" t="s">
        <v>261</v>
      </c>
      <c r="AI9" s="3" t="s">
        <v>262</v>
      </c>
      <c r="AJ9" t="s">
        <v>263</v>
      </c>
      <c r="AO9">
        <v>12</v>
      </c>
      <c r="AP9" t="s">
        <v>2953</v>
      </c>
      <c r="AQ9">
        <v>14</v>
      </c>
      <c r="AR9" t="s">
        <v>3305</v>
      </c>
      <c r="AS9" t="s">
        <v>265</v>
      </c>
      <c r="AT9" t="s">
        <v>266</v>
      </c>
    </row>
    <row r="10" spans="1:48" x14ac:dyDescent="0.15">
      <c r="B10" t="s">
        <v>264</v>
      </c>
      <c r="C10" t="s">
        <v>264</v>
      </c>
      <c r="D10" t="s">
        <v>252</v>
      </c>
      <c r="M10">
        <v>9</v>
      </c>
      <c r="AE10" t="s">
        <v>185</v>
      </c>
      <c r="AG10" s="3" t="s">
        <v>265</v>
      </c>
      <c r="AH10" t="s">
        <v>266</v>
      </c>
      <c r="AO10">
        <v>13</v>
      </c>
      <c r="AP10" t="s">
        <v>2898</v>
      </c>
      <c r="AQ10">
        <v>15</v>
      </c>
      <c r="AR10" t="s">
        <v>3306</v>
      </c>
      <c r="AS10" t="s">
        <v>3425</v>
      </c>
      <c r="AT10" t="s">
        <v>3307</v>
      </c>
    </row>
    <row r="11" spans="1:48" x14ac:dyDescent="0.15">
      <c r="B11" t="s">
        <v>267</v>
      </c>
      <c r="C11" t="s">
        <v>267</v>
      </c>
      <c r="D11" t="s">
        <v>259</v>
      </c>
      <c r="M11">
        <v>10</v>
      </c>
      <c r="AE11" t="s">
        <v>186</v>
      </c>
      <c r="AG11" s="3" t="s">
        <v>268</v>
      </c>
      <c r="AH11" t="s">
        <v>269</v>
      </c>
      <c r="AO11">
        <v>14</v>
      </c>
      <c r="AP11" t="s">
        <v>2954</v>
      </c>
      <c r="AQ11">
        <v>16</v>
      </c>
      <c r="AR11" t="s">
        <v>3308</v>
      </c>
      <c r="AS11" t="s">
        <v>268</v>
      </c>
      <c r="AT11" t="s">
        <v>571</v>
      </c>
    </row>
    <row r="12" spans="1:48" x14ac:dyDescent="0.15">
      <c r="B12" t="s">
        <v>270</v>
      </c>
      <c r="C12" t="s">
        <v>270</v>
      </c>
      <c r="D12" t="s">
        <v>264</v>
      </c>
      <c r="M12">
        <v>11</v>
      </c>
      <c r="AE12" t="s">
        <v>187</v>
      </c>
      <c r="AG12" s="3" t="s">
        <v>271</v>
      </c>
      <c r="AH12" t="s">
        <v>272</v>
      </c>
      <c r="AO12">
        <v>15</v>
      </c>
      <c r="AP12" t="s">
        <v>2899</v>
      </c>
      <c r="AQ12">
        <v>17</v>
      </c>
      <c r="AR12" t="s">
        <v>3309</v>
      </c>
      <c r="AS12" t="s">
        <v>271</v>
      </c>
      <c r="AT12" t="s">
        <v>3310</v>
      </c>
    </row>
    <row r="13" spans="1:48" x14ac:dyDescent="0.15">
      <c r="B13" t="s">
        <v>273</v>
      </c>
      <c r="C13" t="s">
        <v>273</v>
      </c>
      <c r="D13" t="s">
        <v>267</v>
      </c>
      <c r="M13">
        <v>12</v>
      </c>
      <c r="AE13" t="s">
        <v>188</v>
      </c>
      <c r="AG13" s="3" t="s">
        <v>274</v>
      </c>
      <c r="AH13" t="s">
        <v>275</v>
      </c>
      <c r="AO13">
        <v>16</v>
      </c>
      <c r="AP13" t="s">
        <v>2900</v>
      </c>
      <c r="AQ13">
        <v>18</v>
      </c>
      <c r="AR13" t="s">
        <v>3311</v>
      </c>
      <c r="AS13" t="s">
        <v>274</v>
      </c>
      <c r="AT13" t="s">
        <v>275</v>
      </c>
    </row>
    <row r="14" spans="1:48" x14ac:dyDescent="0.15">
      <c r="B14" t="s">
        <v>276</v>
      </c>
      <c r="C14" t="s">
        <v>276</v>
      </c>
      <c r="D14" t="s">
        <v>270</v>
      </c>
      <c r="M14">
        <v>13</v>
      </c>
      <c r="AE14" t="s">
        <v>189</v>
      </c>
      <c r="AG14" s="3" t="s">
        <v>277</v>
      </c>
      <c r="AH14" t="s">
        <v>278</v>
      </c>
      <c r="AO14">
        <v>17</v>
      </c>
      <c r="AP14" t="s">
        <v>2955</v>
      </c>
      <c r="AQ14">
        <v>19</v>
      </c>
      <c r="AR14" t="s">
        <v>3312</v>
      </c>
      <c r="AS14" t="s">
        <v>277</v>
      </c>
      <c r="AT14" t="s">
        <v>278</v>
      </c>
    </row>
    <row r="15" spans="1:48" x14ac:dyDescent="0.15">
      <c r="B15" t="s">
        <v>279</v>
      </c>
      <c r="C15" t="s">
        <v>279</v>
      </c>
      <c r="D15" t="s">
        <v>273</v>
      </c>
      <c r="AE15" t="s">
        <v>190</v>
      </c>
      <c r="AG15" s="3" t="s">
        <v>280</v>
      </c>
      <c r="AH15" t="s">
        <v>281</v>
      </c>
      <c r="AO15">
        <v>18</v>
      </c>
      <c r="AP15" t="s">
        <v>2903</v>
      </c>
      <c r="AQ15">
        <v>20</v>
      </c>
      <c r="AR15" t="s">
        <v>3313</v>
      </c>
      <c r="AS15" t="s">
        <v>280</v>
      </c>
      <c r="AT15" t="s">
        <v>281</v>
      </c>
    </row>
    <row r="16" spans="1:48" x14ac:dyDescent="0.15">
      <c r="B16" t="s">
        <v>282</v>
      </c>
      <c r="C16" t="s">
        <v>282</v>
      </c>
      <c r="D16" t="s">
        <v>276</v>
      </c>
      <c r="AG16" s="3" t="s">
        <v>283</v>
      </c>
      <c r="AH16" t="s">
        <v>284</v>
      </c>
      <c r="AO16">
        <v>19</v>
      </c>
      <c r="AP16" t="s">
        <v>2904</v>
      </c>
      <c r="AQ16">
        <v>21</v>
      </c>
      <c r="AR16" t="s">
        <v>3314</v>
      </c>
      <c r="AS16" t="s">
        <v>3426</v>
      </c>
      <c r="AT16" t="s">
        <v>3315</v>
      </c>
    </row>
    <row r="17" spans="2:46" x14ac:dyDescent="0.15">
      <c r="B17" t="s">
        <v>285</v>
      </c>
      <c r="C17" t="s">
        <v>285</v>
      </c>
      <c r="D17" t="s">
        <v>279</v>
      </c>
      <c r="AG17" s="3" t="s">
        <v>286</v>
      </c>
      <c r="AH17" t="s">
        <v>287</v>
      </c>
      <c r="AO17">
        <v>20</v>
      </c>
      <c r="AP17" t="s">
        <v>2905</v>
      </c>
      <c r="AQ17">
        <v>22</v>
      </c>
      <c r="AR17" t="s">
        <v>3316</v>
      </c>
      <c r="AS17" t="s">
        <v>283</v>
      </c>
      <c r="AT17" t="s">
        <v>570</v>
      </c>
    </row>
    <row r="18" spans="2:46" x14ac:dyDescent="0.15">
      <c r="B18" t="s">
        <v>288</v>
      </c>
      <c r="C18" t="s">
        <v>288</v>
      </c>
      <c r="D18" t="s">
        <v>282</v>
      </c>
      <c r="AG18" s="3" t="s">
        <v>289</v>
      </c>
      <c r="AH18" t="s">
        <v>290</v>
      </c>
      <c r="AO18">
        <v>21</v>
      </c>
      <c r="AP18" t="s">
        <v>2906</v>
      </c>
      <c r="AQ18">
        <v>23</v>
      </c>
      <c r="AR18" t="s">
        <v>3317</v>
      </c>
      <c r="AS18" t="s">
        <v>286</v>
      </c>
      <c r="AT18" t="s">
        <v>569</v>
      </c>
    </row>
    <row r="19" spans="2:46" x14ac:dyDescent="0.15">
      <c r="B19" t="s">
        <v>291</v>
      </c>
      <c r="C19" t="s">
        <v>291</v>
      </c>
      <c r="D19" t="s">
        <v>285</v>
      </c>
      <c r="AG19" s="3" t="s">
        <v>292</v>
      </c>
      <c r="AH19" t="s">
        <v>293</v>
      </c>
      <c r="AO19">
        <v>22</v>
      </c>
      <c r="AP19" t="s">
        <v>2907</v>
      </c>
      <c r="AQ19">
        <v>24</v>
      </c>
      <c r="AR19" t="s">
        <v>2932</v>
      </c>
      <c r="AS19" t="s">
        <v>3427</v>
      </c>
      <c r="AT19" t="s">
        <v>3318</v>
      </c>
    </row>
    <row r="20" spans="2:46" x14ac:dyDescent="0.15">
      <c r="B20" t="s">
        <v>294</v>
      </c>
      <c r="C20" t="s">
        <v>294</v>
      </c>
      <c r="D20" t="s">
        <v>288</v>
      </c>
      <c r="AG20" s="3" t="s">
        <v>295</v>
      </c>
      <c r="AH20" t="s">
        <v>296</v>
      </c>
      <c r="AO20">
        <v>23</v>
      </c>
      <c r="AP20" t="s">
        <v>2956</v>
      </c>
      <c r="AQ20">
        <v>30</v>
      </c>
      <c r="AR20" t="s">
        <v>3300</v>
      </c>
      <c r="AS20" t="s">
        <v>289</v>
      </c>
      <c r="AT20" t="s">
        <v>290</v>
      </c>
    </row>
    <row r="21" spans="2:46" x14ac:dyDescent="0.15">
      <c r="B21" t="s">
        <v>297</v>
      </c>
      <c r="C21" t="s">
        <v>297</v>
      </c>
      <c r="D21" t="s">
        <v>291</v>
      </c>
      <c r="AG21" s="3" t="s">
        <v>298</v>
      </c>
      <c r="AH21" t="s">
        <v>299</v>
      </c>
      <c r="AO21">
        <v>24</v>
      </c>
      <c r="AP21" t="s">
        <v>2909</v>
      </c>
      <c r="AQ21">
        <v>31</v>
      </c>
      <c r="AR21" t="s">
        <v>3301</v>
      </c>
      <c r="AS21" t="s">
        <v>292</v>
      </c>
      <c r="AT21" t="s">
        <v>3319</v>
      </c>
    </row>
    <row r="22" spans="2:46" x14ac:dyDescent="0.15">
      <c r="B22" t="s">
        <v>300</v>
      </c>
      <c r="C22" t="s">
        <v>300</v>
      </c>
      <c r="D22" t="s">
        <v>294</v>
      </c>
      <c r="AG22" s="3" t="s">
        <v>301</v>
      </c>
      <c r="AH22" t="s">
        <v>302</v>
      </c>
      <c r="AO22">
        <v>25</v>
      </c>
      <c r="AP22" t="s">
        <v>2957</v>
      </c>
      <c r="AQ22">
        <v>32</v>
      </c>
      <c r="AR22" t="s">
        <v>3302</v>
      </c>
      <c r="AS22" t="s">
        <v>295</v>
      </c>
      <c r="AT22" t="s">
        <v>296</v>
      </c>
    </row>
    <row r="23" spans="2:46" x14ac:dyDescent="0.15">
      <c r="B23" t="s">
        <v>303</v>
      </c>
      <c r="C23" t="s">
        <v>303</v>
      </c>
      <c r="D23" t="s">
        <v>297</v>
      </c>
      <c r="AG23" s="3" t="s">
        <v>304</v>
      </c>
      <c r="AH23" t="s">
        <v>305</v>
      </c>
      <c r="AO23">
        <v>26</v>
      </c>
      <c r="AP23" t="s">
        <v>2958</v>
      </c>
      <c r="AQ23">
        <v>33</v>
      </c>
      <c r="AR23" t="s">
        <v>3304</v>
      </c>
      <c r="AS23" t="s">
        <v>298</v>
      </c>
      <c r="AT23" t="s">
        <v>3320</v>
      </c>
    </row>
    <row r="24" spans="2:46" x14ac:dyDescent="0.15">
      <c r="B24" t="s">
        <v>306</v>
      </c>
      <c r="C24" t="s">
        <v>306</v>
      </c>
      <c r="D24" t="s">
        <v>300</v>
      </c>
      <c r="AG24" s="3" t="s">
        <v>307</v>
      </c>
      <c r="AH24" t="s">
        <v>308</v>
      </c>
      <c r="AO24">
        <v>27</v>
      </c>
      <c r="AP24" t="s">
        <v>2959</v>
      </c>
      <c r="AQ24">
        <v>34</v>
      </c>
      <c r="AR24" t="s">
        <v>3305</v>
      </c>
      <c r="AS24" t="s">
        <v>3428</v>
      </c>
      <c r="AT24" t="s">
        <v>3321</v>
      </c>
    </row>
    <row r="25" spans="2:46" x14ac:dyDescent="0.15">
      <c r="B25" t="s">
        <v>309</v>
      </c>
      <c r="C25" t="s">
        <v>309</v>
      </c>
      <c r="D25" t="s">
        <v>303</v>
      </c>
      <c r="AG25" s="3" t="s">
        <v>310</v>
      </c>
      <c r="AH25" t="s">
        <v>311</v>
      </c>
      <c r="AO25">
        <v>28</v>
      </c>
      <c r="AP25" t="s">
        <v>2960</v>
      </c>
      <c r="AQ25">
        <v>35</v>
      </c>
      <c r="AR25" t="s">
        <v>3306</v>
      </c>
      <c r="AS25" t="s">
        <v>301</v>
      </c>
      <c r="AT25" t="s">
        <v>3322</v>
      </c>
    </row>
    <row r="26" spans="2:46" x14ac:dyDescent="0.15">
      <c r="B26" t="s">
        <v>312</v>
      </c>
      <c r="C26" t="s">
        <v>312</v>
      </c>
      <c r="D26" t="s">
        <v>306</v>
      </c>
      <c r="AG26" s="3" t="s">
        <v>313</v>
      </c>
      <c r="AH26" t="s">
        <v>314</v>
      </c>
      <c r="AO26">
        <v>29</v>
      </c>
      <c r="AP26" t="s">
        <v>2961</v>
      </c>
      <c r="AQ26">
        <v>36</v>
      </c>
      <c r="AR26" t="s">
        <v>3308</v>
      </c>
      <c r="AS26" t="s">
        <v>304</v>
      </c>
      <c r="AT26" t="s">
        <v>3323</v>
      </c>
    </row>
    <row r="27" spans="2:46" x14ac:dyDescent="0.15">
      <c r="B27" t="s">
        <v>315</v>
      </c>
      <c r="C27" t="s">
        <v>315</v>
      </c>
      <c r="D27" t="s">
        <v>309</v>
      </c>
      <c r="AG27" s="3" t="s">
        <v>316</v>
      </c>
      <c r="AH27" t="s">
        <v>317</v>
      </c>
      <c r="AO27">
        <v>30</v>
      </c>
      <c r="AP27" t="s">
        <v>2962</v>
      </c>
      <c r="AQ27">
        <v>37</v>
      </c>
      <c r="AR27" t="s">
        <v>3309</v>
      </c>
      <c r="AS27" t="s">
        <v>307</v>
      </c>
      <c r="AT27" t="s">
        <v>308</v>
      </c>
    </row>
    <row r="28" spans="2:46" x14ac:dyDescent="0.15">
      <c r="B28" t="s">
        <v>318</v>
      </c>
      <c r="C28" t="s">
        <v>318</v>
      </c>
      <c r="D28" t="s">
        <v>312</v>
      </c>
      <c r="AG28" s="3" t="s">
        <v>319</v>
      </c>
      <c r="AH28" t="s">
        <v>320</v>
      </c>
      <c r="AO28">
        <v>31</v>
      </c>
      <c r="AP28" t="s">
        <v>2963</v>
      </c>
      <c r="AQ28">
        <v>38</v>
      </c>
      <c r="AR28" t="s">
        <v>3311</v>
      </c>
      <c r="AS28" t="s">
        <v>310</v>
      </c>
      <c r="AT28" t="s">
        <v>311</v>
      </c>
    </row>
    <row r="29" spans="2:46" x14ac:dyDescent="0.15">
      <c r="B29" t="s">
        <v>321</v>
      </c>
      <c r="C29" t="s">
        <v>321</v>
      </c>
      <c r="D29" t="s">
        <v>315</v>
      </c>
      <c r="AG29" s="3" t="s">
        <v>322</v>
      </c>
      <c r="AH29" t="s">
        <v>323</v>
      </c>
      <c r="AO29">
        <v>32</v>
      </c>
      <c r="AP29" t="s">
        <v>2918</v>
      </c>
      <c r="AQ29">
        <v>39</v>
      </c>
      <c r="AR29" t="s">
        <v>3312</v>
      </c>
      <c r="AS29" t="s">
        <v>313</v>
      </c>
      <c r="AT29" t="s">
        <v>314</v>
      </c>
    </row>
    <row r="30" spans="2:46" x14ac:dyDescent="0.15">
      <c r="B30" t="s">
        <v>324</v>
      </c>
      <c r="C30" t="s">
        <v>324</v>
      </c>
      <c r="D30" t="s">
        <v>318</v>
      </c>
      <c r="AG30" s="3" t="s">
        <v>325</v>
      </c>
      <c r="AH30" t="s">
        <v>326</v>
      </c>
      <c r="AO30">
        <v>33</v>
      </c>
      <c r="AP30" t="s">
        <v>2964</v>
      </c>
      <c r="AQ30">
        <v>40</v>
      </c>
      <c r="AR30" t="s">
        <v>3313</v>
      </c>
      <c r="AS30" t="s">
        <v>316</v>
      </c>
      <c r="AT30" t="s">
        <v>317</v>
      </c>
    </row>
    <row r="31" spans="2:46" x14ac:dyDescent="0.15">
      <c r="B31" t="s">
        <v>327</v>
      </c>
      <c r="C31" t="s">
        <v>327</v>
      </c>
      <c r="D31" t="s">
        <v>321</v>
      </c>
      <c r="AG31" s="3" t="s">
        <v>328</v>
      </c>
      <c r="AH31" t="s">
        <v>329</v>
      </c>
      <c r="AO31">
        <v>34</v>
      </c>
      <c r="AP31" t="s">
        <v>2921</v>
      </c>
      <c r="AQ31">
        <v>41</v>
      </c>
      <c r="AR31" t="s">
        <v>3314</v>
      </c>
      <c r="AS31" t="s">
        <v>319</v>
      </c>
      <c r="AT31" t="s">
        <v>320</v>
      </c>
    </row>
    <row r="32" spans="2:46" x14ac:dyDescent="0.15">
      <c r="B32" t="s">
        <v>330</v>
      </c>
      <c r="C32" t="s">
        <v>330</v>
      </c>
      <c r="D32" t="s">
        <v>324</v>
      </c>
      <c r="AG32" s="3" t="s">
        <v>331</v>
      </c>
      <c r="AH32" t="s">
        <v>332</v>
      </c>
      <c r="AO32">
        <v>35</v>
      </c>
      <c r="AP32" t="s">
        <v>2965</v>
      </c>
      <c r="AQ32">
        <v>42</v>
      </c>
      <c r="AR32" t="s">
        <v>3316</v>
      </c>
      <c r="AS32" t="s">
        <v>322</v>
      </c>
      <c r="AT32" t="s">
        <v>323</v>
      </c>
    </row>
    <row r="33" spans="2:46" x14ac:dyDescent="0.15">
      <c r="B33" t="s">
        <v>333</v>
      </c>
      <c r="C33" t="s">
        <v>333</v>
      </c>
      <c r="D33" t="s">
        <v>327</v>
      </c>
      <c r="AG33" s="3" t="s">
        <v>334</v>
      </c>
      <c r="AH33" t="s">
        <v>335</v>
      </c>
      <c r="AO33">
        <v>36</v>
      </c>
      <c r="AP33" t="s">
        <v>2966</v>
      </c>
      <c r="AQ33">
        <v>43</v>
      </c>
      <c r="AR33" t="s">
        <v>3317</v>
      </c>
      <c r="AS33" t="s">
        <v>325</v>
      </c>
      <c r="AT33" t="s">
        <v>3324</v>
      </c>
    </row>
    <row r="34" spans="2:46" x14ac:dyDescent="0.15">
      <c r="B34" t="s">
        <v>336</v>
      </c>
      <c r="C34" t="s">
        <v>336</v>
      </c>
      <c r="D34" t="s">
        <v>330</v>
      </c>
      <c r="AG34" s="3" t="s">
        <v>337</v>
      </c>
      <c r="AH34" t="s">
        <v>338</v>
      </c>
      <c r="AO34">
        <v>37</v>
      </c>
      <c r="AP34" t="s">
        <v>2967</v>
      </c>
      <c r="AQ34">
        <v>44</v>
      </c>
      <c r="AR34" t="s">
        <v>2932</v>
      </c>
      <c r="AS34" t="s">
        <v>328</v>
      </c>
      <c r="AT34" t="s">
        <v>329</v>
      </c>
    </row>
    <row r="35" spans="2:46" x14ac:dyDescent="0.15">
      <c r="B35" t="s">
        <v>339</v>
      </c>
      <c r="C35" t="s">
        <v>339</v>
      </c>
      <c r="D35" t="s">
        <v>333</v>
      </c>
      <c r="AG35" s="3" t="s">
        <v>340</v>
      </c>
      <c r="AH35" t="s">
        <v>341</v>
      </c>
      <c r="AO35">
        <v>38</v>
      </c>
      <c r="AP35" t="s">
        <v>2919</v>
      </c>
      <c r="AS35" t="s">
        <v>331</v>
      </c>
      <c r="AT35" t="s">
        <v>565</v>
      </c>
    </row>
    <row r="36" spans="2:46" x14ac:dyDescent="0.15">
      <c r="B36" t="s">
        <v>342</v>
      </c>
      <c r="C36" t="s">
        <v>342</v>
      </c>
      <c r="D36" t="s">
        <v>336</v>
      </c>
      <c r="AG36" s="3" t="s">
        <v>343</v>
      </c>
      <c r="AH36" t="s">
        <v>344</v>
      </c>
      <c r="AO36">
        <v>39</v>
      </c>
      <c r="AP36" t="s">
        <v>2920</v>
      </c>
      <c r="AS36" t="s">
        <v>334</v>
      </c>
      <c r="AT36" t="s">
        <v>3325</v>
      </c>
    </row>
    <row r="37" spans="2:46" x14ac:dyDescent="0.15">
      <c r="B37" t="s">
        <v>345</v>
      </c>
      <c r="C37" t="s">
        <v>345</v>
      </c>
      <c r="D37" t="s">
        <v>339</v>
      </c>
      <c r="AG37" s="3" t="s">
        <v>346</v>
      </c>
      <c r="AH37" t="s">
        <v>347</v>
      </c>
      <c r="AO37">
        <v>40</v>
      </c>
      <c r="AP37" t="s">
        <v>2968</v>
      </c>
      <c r="AS37" t="s">
        <v>337</v>
      </c>
      <c r="AT37" t="s">
        <v>338</v>
      </c>
    </row>
    <row r="38" spans="2:46" x14ac:dyDescent="0.15">
      <c r="B38" t="s">
        <v>348</v>
      </c>
      <c r="C38" t="s">
        <v>348</v>
      </c>
      <c r="D38" t="s">
        <v>342</v>
      </c>
      <c r="AG38" s="3" t="s">
        <v>349</v>
      </c>
      <c r="AH38" t="s">
        <v>350</v>
      </c>
      <c r="AO38">
        <v>41</v>
      </c>
      <c r="AP38" t="s">
        <v>2926</v>
      </c>
      <c r="AS38" t="s">
        <v>340</v>
      </c>
      <c r="AT38" t="s">
        <v>341</v>
      </c>
    </row>
    <row r="39" spans="2:46" x14ac:dyDescent="0.15">
      <c r="B39" t="s">
        <v>351</v>
      </c>
      <c r="C39" t="s">
        <v>351</v>
      </c>
      <c r="D39" t="s">
        <v>345</v>
      </c>
      <c r="AG39" s="3" t="s">
        <v>352</v>
      </c>
      <c r="AH39" t="s">
        <v>353</v>
      </c>
      <c r="AO39">
        <v>42</v>
      </c>
      <c r="AP39" t="s">
        <v>2969</v>
      </c>
      <c r="AS39" t="s">
        <v>343</v>
      </c>
      <c r="AT39" t="s">
        <v>344</v>
      </c>
    </row>
    <row r="40" spans="2:46" x14ac:dyDescent="0.15">
      <c r="B40" t="s">
        <v>354</v>
      </c>
      <c r="C40" t="s">
        <v>354</v>
      </c>
      <c r="D40" t="s">
        <v>348</v>
      </c>
      <c r="AG40" s="3" t="s">
        <v>355</v>
      </c>
      <c r="AH40" t="s">
        <v>356</v>
      </c>
      <c r="AO40">
        <v>43</v>
      </c>
      <c r="AP40" t="s">
        <v>2928</v>
      </c>
      <c r="AS40" t="s">
        <v>346</v>
      </c>
      <c r="AT40" t="s">
        <v>347</v>
      </c>
    </row>
    <row r="41" spans="2:46" x14ac:dyDescent="0.15">
      <c r="B41" t="s">
        <v>357</v>
      </c>
      <c r="C41" t="s">
        <v>357</v>
      </c>
      <c r="D41" t="s">
        <v>351</v>
      </c>
      <c r="AG41" s="3" t="s">
        <v>358</v>
      </c>
      <c r="AH41" t="s">
        <v>359</v>
      </c>
      <c r="AO41">
        <v>44</v>
      </c>
      <c r="AP41" t="s">
        <v>2929</v>
      </c>
      <c r="AS41" t="s">
        <v>349</v>
      </c>
      <c r="AT41" t="s">
        <v>350</v>
      </c>
    </row>
    <row r="42" spans="2:46" x14ac:dyDescent="0.15">
      <c r="B42" t="s">
        <v>360</v>
      </c>
      <c r="C42" t="s">
        <v>360</v>
      </c>
      <c r="D42" t="s">
        <v>354</v>
      </c>
      <c r="AG42" s="3" t="s">
        <v>361</v>
      </c>
      <c r="AH42" t="s">
        <v>362</v>
      </c>
      <c r="AO42">
        <v>45</v>
      </c>
      <c r="AP42" t="s">
        <v>2970</v>
      </c>
      <c r="AS42" t="s">
        <v>352</v>
      </c>
      <c r="AT42" t="s">
        <v>353</v>
      </c>
    </row>
    <row r="43" spans="2:46" x14ac:dyDescent="0.15">
      <c r="B43" t="s">
        <v>363</v>
      </c>
      <c r="C43" t="s">
        <v>363</v>
      </c>
      <c r="D43" t="s">
        <v>357</v>
      </c>
      <c r="AG43" s="3" t="s">
        <v>364</v>
      </c>
      <c r="AH43" t="s">
        <v>365</v>
      </c>
      <c r="AO43">
        <v>46</v>
      </c>
      <c r="AP43" t="s">
        <v>2931</v>
      </c>
      <c r="AS43" t="s">
        <v>355</v>
      </c>
      <c r="AT43" t="s">
        <v>562</v>
      </c>
    </row>
    <row r="44" spans="2:46" x14ac:dyDescent="0.15">
      <c r="B44" t="s">
        <v>366</v>
      </c>
      <c r="C44" t="s">
        <v>366</v>
      </c>
      <c r="D44" t="s">
        <v>360</v>
      </c>
      <c r="AG44" s="3" t="s">
        <v>367</v>
      </c>
      <c r="AH44" t="s">
        <v>368</v>
      </c>
      <c r="AO44">
        <v>99</v>
      </c>
      <c r="AP44" t="s">
        <v>2932</v>
      </c>
      <c r="AS44" t="s">
        <v>358</v>
      </c>
      <c r="AT44" t="s">
        <v>359</v>
      </c>
    </row>
    <row r="45" spans="2:46" x14ac:dyDescent="0.15">
      <c r="B45" t="s">
        <v>369</v>
      </c>
      <c r="C45" t="s">
        <v>369</v>
      </c>
      <c r="D45" t="s">
        <v>363</v>
      </c>
      <c r="AG45" s="3" t="s">
        <v>370</v>
      </c>
      <c r="AH45" t="s">
        <v>371</v>
      </c>
      <c r="AS45" t="s">
        <v>361</v>
      </c>
      <c r="AT45" t="s">
        <v>362</v>
      </c>
    </row>
    <row r="46" spans="2:46" x14ac:dyDescent="0.15">
      <c r="B46" t="s">
        <v>372</v>
      </c>
      <c r="C46" t="s">
        <v>372</v>
      </c>
      <c r="D46" t="s">
        <v>366</v>
      </c>
      <c r="AG46" s="3" t="s">
        <v>373</v>
      </c>
      <c r="AH46" t="s">
        <v>374</v>
      </c>
      <c r="AS46" t="s">
        <v>364</v>
      </c>
      <c r="AT46" t="s">
        <v>365</v>
      </c>
    </row>
    <row r="47" spans="2:46" x14ac:dyDescent="0.15">
      <c r="B47" t="s">
        <v>375</v>
      </c>
      <c r="C47" t="s">
        <v>375</v>
      </c>
      <c r="D47" t="s">
        <v>369</v>
      </c>
      <c r="AG47" s="3" t="s">
        <v>376</v>
      </c>
      <c r="AH47" t="s">
        <v>377</v>
      </c>
      <c r="AS47" t="s">
        <v>367</v>
      </c>
      <c r="AT47" t="s">
        <v>368</v>
      </c>
    </row>
    <row r="48" spans="2:46" x14ac:dyDescent="0.15">
      <c r="B48" t="s">
        <v>378</v>
      </c>
      <c r="C48" t="s">
        <v>378</v>
      </c>
      <c r="D48" t="s">
        <v>372</v>
      </c>
      <c r="AG48" s="3" t="s">
        <v>379</v>
      </c>
      <c r="AH48" t="s">
        <v>380</v>
      </c>
      <c r="AS48" t="s">
        <v>370</v>
      </c>
      <c r="AT48" t="s">
        <v>371</v>
      </c>
    </row>
    <row r="49" spans="2:46" x14ac:dyDescent="0.15">
      <c r="B49" t="s">
        <v>381</v>
      </c>
      <c r="C49" t="s">
        <v>381</v>
      </c>
      <c r="D49" t="s">
        <v>375</v>
      </c>
      <c r="AG49" s="3" t="s">
        <v>382</v>
      </c>
      <c r="AH49" t="s">
        <v>383</v>
      </c>
      <c r="AI49"/>
      <c r="AK49"/>
      <c r="AS49" t="s">
        <v>373</v>
      </c>
      <c r="AT49" t="s">
        <v>3326</v>
      </c>
    </row>
    <row r="50" spans="2:46" x14ac:dyDescent="0.15">
      <c r="D50" t="s">
        <v>378</v>
      </c>
      <c r="AG50" s="3" t="s">
        <v>384</v>
      </c>
      <c r="AH50" t="s">
        <v>385</v>
      </c>
      <c r="AI50"/>
      <c r="AK50"/>
      <c r="AS50" t="s">
        <v>376</v>
      </c>
      <c r="AT50" t="s">
        <v>3327</v>
      </c>
    </row>
    <row r="51" spans="2:46" x14ac:dyDescent="0.15">
      <c r="D51" t="s">
        <v>381</v>
      </c>
      <c r="AG51" s="3" t="s">
        <v>386</v>
      </c>
      <c r="AH51" t="s">
        <v>387</v>
      </c>
      <c r="AI51"/>
      <c r="AK51"/>
      <c r="AS51" t="s">
        <v>379</v>
      </c>
      <c r="AT51" t="s">
        <v>380</v>
      </c>
    </row>
    <row r="52" spans="2:46" x14ac:dyDescent="0.15">
      <c r="AG52" s="3" t="s">
        <v>388</v>
      </c>
      <c r="AH52" t="s">
        <v>389</v>
      </c>
      <c r="AI52"/>
      <c r="AK52"/>
      <c r="AS52" t="s">
        <v>382</v>
      </c>
      <c r="AT52" t="s">
        <v>3328</v>
      </c>
    </row>
    <row r="53" spans="2:46" x14ac:dyDescent="0.15">
      <c r="AG53" s="3" t="s">
        <v>390</v>
      </c>
      <c r="AH53" t="s">
        <v>391</v>
      </c>
      <c r="AI53"/>
      <c r="AK53"/>
      <c r="AS53" t="s">
        <v>384</v>
      </c>
      <c r="AT53" t="s">
        <v>385</v>
      </c>
    </row>
    <row r="54" spans="2:46" x14ac:dyDescent="0.15">
      <c r="AG54" s="3" t="s">
        <v>392</v>
      </c>
      <c r="AH54" t="s">
        <v>393</v>
      </c>
      <c r="AI54"/>
      <c r="AK54"/>
      <c r="AS54" t="s">
        <v>386</v>
      </c>
      <c r="AT54" t="s">
        <v>3329</v>
      </c>
    </row>
    <row r="55" spans="2:46" x14ac:dyDescent="0.15">
      <c r="AG55" s="3" t="s">
        <v>394</v>
      </c>
      <c r="AH55" t="s">
        <v>395</v>
      </c>
      <c r="AI55"/>
      <c r="AK55"/>
      <c r="AS55" t="s">
        <v>388</v>
      </c>
      <c r="AT55" t="s">
        <v>389</v>
      </c>
    </row>
    <row r="56" spans="2:46" x14ac:dyDescent="0.15">
      <c r="AG56" s="3" t="s">
        <v>396</v>
      </c>
      <c r="AH56" t="s">
        <v>397</v>
      </c>
      <c r="AI56"/>
      <c r="AK56"/>
      <c r="AS56" t="s">
        <v>390</v>
      </c>
      <c r="AT56" t="s">
        <v>391</v>
      </c>
    </row>
    <row r="57" spans="2:46" x14ac:dyDescent="0.15">
      <c r="AG57" s="3" t="s">
        <v>398</v>
      </c>
      <c r="AH57" t="s">
        <v>399</v>
      </c>
      <c r="AI57"/>
      <c r="AK57"/>
      <c r="AS57" t="s">
        <v>392</v>
      </c>
      <c r="AT57" t="s">
        <v>393</v>
      </c>
    </row>
    <row r="58" spans="2:46" x14ac:dyDescent="0.15">
      <c r="AG58" s="3" t="s">
        <v>400</v>
      </c>
      <c r="AH58" t="s">
        <v>401</v>
      </c>
      <c r="AI58"/>
      <c r="AK58"/>
      <c r="AS58" t="s">
        <v>394</v>
      </c>
      <c r="AT58" t="s">
        <v>556</v>
      </c>
    </row>
    <row r="59" spans="2:46" x14ac:dyDescent="0.15">
      <c r="AG59" s="3" t="s">
        <v>402</v>
      </c>
      <c r="AH59" t="s">
        <v>403</v>
      </c>
      <c r="AI59"/>
      <c r="AK59"/>
      <c r="AS59" t="s">
        <v>396</v>
      </c>
      <c r="AT59" t="s">
        <v>397</v>
      </c>
    </row>
    <row r="60" spans="2:46" x14ac:dyDescent="0.15">
      <c r="AG60" s="3" t="s">
        <v>404</v>
      </c>
      <c r="AH60" t="s">
        <v>405</v>
      </c>
      <c r="AI60"/>
      <c r="AK60"/>
      <c r="AS60" t="s">
        <v>398</v>
      </c>
      <c r="AT60" t="s">
        <v>399</v>
      </c>
    </row>
    <row r="61" spans="2:46" x14ac:dyDescent="0.15">
      <c r="AG61" s="3" t="s">
        <v>406</v>
      </c>
      <c r="AH61" t="s">
        <v>407</v>
      </c>
      <c r="AI61"/>
      <c r="AK61"/>
      <c r="AS61" t="s">
        <v>400</v>
      </c>
      <c r="AT61" t="s">
        <v>401</v>
      </c>
    </row>
    <row r="62" spans="2:46" x14ac:dyDescent="0.15">
      <c r="AG62" s="3" t="s">
        <v>408</v>
      </c>
      <c r="AH62" t="s">
        <v>409</v>
      </c>
      <c r="AI62"/>
      <c r="AK62"/>
      <c r="AS62" t="s">
        <v>402</v>
      </c>
      <c r="AT62" t="s">
        <v>403</v>
      </c>
    </row>
    <row r="63" spans="2:46" x14ac:dyDescent="0.15">
      <c r="AG63" s="3" t="s">
        <v>410</v>
      </c>
      <c r="AH63" t="s">
        <v>411</v>
      </c>
      <c r="AI63"/>
      <c r="AK63"/>
      <c r="AS63" t="s">
        <v>404</v>
      </c>
      <c r="AT63" t="s">
        <v>405</v>
      </c>
    </row>
    <row r="64" spans="2:46" x14ac:dyDescent="0.15">
      <c r="AG64" s="3" t="s">
        <v>412</v>
      </c>
      <c r="AH64" t="s">
        <v>413</v>
      </c>
      <c r="AI64"/>
      <c r="AK64"/>
      <c r="AS64" t="s">
        <v>406</v>
      </c>
      <c r="AT64" t="s">
        <v>407</v>
      </c>
    </row>
    <row r="65" spans="33:46" x14ac:dyDescent="0.15">
      <c r="AG65" s="3" t="s">
        <v>414</v>
      </c>
      <c r="AH65" t="s">
        <v>415</v>
      </c>
      <c r="AI65"/>
      <c r="AK65"/>
      <c r="AS65" t="s">
        <v>408</v>
      </c>
      <c r="AT65" t="s">
        <v>409</v>
      </c>
    </row>
    <row r="66" spans="33:46" x14ac:dyDescent="0.15">
      <c r="AG66" s="3" t="s">
        <v>416</v>
      </c>
      <c r="AH66" t="s">
        <v>417</v>
      </c>
      <c r="AI66"/>
      <c r="AK66"/>
      <c r="AS66" t="s">
        <v>410</v>
      </c>
      <c r="AT66" t="s">
        <v>411</v>
      </c>
    </row>
    <row r="67" spans="33:46" x14ac:dyDescent="0.15">
      <c r="AG67" s="3" t="s">
        <v>418</v>
      </c>
      <c r="AH67" t="s">
        <v>419</v>
      </c>
      <c r="AI67"/>
      <c r="AK67"/>
      <c r="AS67" t="s">
        <v>412</v>
      </c>
      <c r="AT67" t="s">
        <v>413</v>
      </c>
    </row>
    <row r="68" spans="33:46" x14ac:dyDescent="0.15">
      <c r="AG68" s="3" t="s">
        <v>420</v>
      </c>
      <c r="AH68" t="s">
        <v>421</v>
      </c>
      <c r="AI68"/>
      <c r="AK68"/>
      <c r="AS68" t="s">
        <v>414</v>
      </c>
      <c r="AT68" t="s">
        <v>415</v>
      </c>
    </row>
    <row r="69" spans="33:46" x14ac:dyDescent="0.15">
      <c r="AS69" t="s">
        <v>416</v>
      </c>
      <c r="AT69" t="s">
        <v>417</v>
      </c>
    </row>
    <row r="70" spans="33:46" x14ac:dyDescent="0.15">
      <c r="AS70" t="s">
        <v>418</v>
      </c>
      <c r="AT70" t="s">
        <v>419</v>
      </c>
    </row>
    <row r="71" spans="33:46" x14ac:dyDescent="0.15">
      <c r="AS71" t="s">
        <v>3429</v>
      </c>
      <c r="AT71" t="s">
        <v>3330</v>
      </c>
    </row>
    <row r="72" spans="33:46" x14ac:dyDescent="0.15">
      <c r="AS72" t="s">
        <v>3430</v>
      </c>
      <c r="AT72" t="s">
        <v>3331</v>
      </c>
    </row>
    <row r="73" spans="33:46" x14ac:dyDescent="0.15">
      <c r="AS73" t="s">
        <v>3431</v>
      </c>
      <c r="AT73" t="s">
        <v>3332</v>
      </c>
    </row>
    <row r="74" spans="33:46" x14ac:dyDescent="0.15">
      <c r="AS74" t="s">
        <v>420</v>
      </c>
      <c r="AT74" t="s">
        <v>1</v>
      </c>
    </row>
  </sheetData>
  <phoneticPr fontId="32"/>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C65"/>
  <sheetViews>
    <sheetView workbookViewId="0"/>
  </sheetViews>
  <sheetFormatPr defaultColWidth="9" defaultRowHeight="13.5" x14ac:dyDescent="0.15"/>
  <cols>
    <col min="1" max="1" width="52.625" customWidth="1"/>
  </cols>
  <sheetData>
    <row r="1" spans="1:3" x14ac:dyDescent="0.15">
      <c r="A1" s="22" t="s">
        <v>112</v>
      </c>
      <c r="B1" s="22" t="s">
        <v>204</v>
      </c>
      <c r="C1" s="18" t="s">
        <v>501</v>
      </c>
    </row>
    <row r="2" spans="1:3" x14ac:dyDescent="0.15">
      <c r="A2" s="22" t="s">
        <v>393</v>
      </c>
      <c r="B2" s="22" t="s">
        <v>392</v>
      </c>
    </row>
    <row r="3" spans="1:3" x14ac:dyDescent="0.15">
      <c r="A3" s="22" t="s">
        <v>214</v>
      </c>
      <c r="B3" s="22" t="s">
        <v>213</v>
      </c>
    </row>
    <row r="4" spans="1:3" x14ac:dyDescent="0.15">
      <c r="A4" s="22" t="s">
        <v>225</v>
      </c>
      <c r="B4" s="22" t="s">
        <v>224</v>
      </c>
    </row>
    <row r="5" spans="1:3" x14ac:dyDescent="0.15">
      <c r="A5" s="22" t="s">
        <v>235</v>
      </c>
      <c r="B5" s="22" t="s">
        <v>234</v>
      </c>
    </row>
    <row r="6" spans="1:3" x14ac:dyDescent="0.15">
      <c r="A6" s="22" t="s">
        <v>245</v>
      </c>
      <c r="B6" s="22" t="s">
        <v>244</v>
      </c>
    </row>
    <row r="7" spans="1:3" x14ac:dyDescent="0.15">
      <c r="A7" s="22" t="s">
        <v>255</v>
      </c>
      <c r="B7" s="22" t="s">
        <v>254</v>
      </c>
    </row>
    <row r="8" spans="1:3" x14ac:dyDescent="0.15">
      <c r="A8" s="22" t="s">
        <v>261</v>
      </c>
      <c r="B8" s="22" t="s">
        <v>260</v>
      </c>
    </row>
    <row r="9" spans="1:3" x14ac:dyDescent="0.15">
      <c r="A9" s="22" t="s">
        <v>266</v>
      </c>
      <c r="B9" s="22" t="s">
        <v>265</v>
      </c>
    </row>
    <row r="10" spans="1:3" x14ac:dyDescent="0.15">
      <c r="A10" s="22" t="s">
        <v>571</v>
      </c>
      <c r="B10" s="22" t="s">
        <v>268</v>
      </c>
    </row>
    <row r="11" spans="1:3" x14ac:dyDescent="0.15">
      <c r="A11" s="22" t="s">
        <v>272</v>
      </c>
      <c r="B11" s="22" t="s">
        <v>271</v>
      </c>
    </row>
    <row r="12" spans="1:3" x14ac:dyDescent="0.15">
      <c r="A12" s="22" t="s">
        <v>275</v>
      </c>
      <c r="B12" s="22" t="s">
        <v>274</v>
      </c>
    </row>
    <row r="13" spans="1:3" x14ac:dyDescent="0.15">
      <c r="A13" s="22" t="s">
        <v>278</v>
      </c>
      <c r="B13" s="22" t="s">
        <v>277</v>
      </c>
    </row>
    <row r="14" spans="1:3" x14ac:dyDescent="0.15">
      <c r="A14" s="22" t="s">
        <v>281</v>
      </c>
      <c r="B14" s="22" t="s">
        <v>280</v>
      </c>
    </row>
    <row r="15" spans="1:3" x14ac:dyDescent="0.15">
      <c r="A15" s="22" t="s">
        <v>570</v>
      </c>
      <c r="B15" s="22" t="s">
        <v>283</v>
      </c>
    </row>
    <row r="16" spans="1:3" x14ac:dyDescent="0.15">
      <c r="A16" s="22" t="s">
        <v>569</v>
      </c>
      <c r="B16" s="22" t="s">
        <v>286</v>
      </c>
    </row>
    <row r="17" spans="1:2" x14ac:dyDescent="0.15">
      <c r="A17" s="22" t="s">
        <v>290</v>
      </c>
      <c r="B17" s="22" t="s">
        <v>289</v>
      </c>
    </row>
    <row r="18" spans="1:2" x14ac:dyDescent="0.15">
      <c r="A18" s="22" t="s">
        <v>568</v>
      </c>
      <c r="B18" s="22" t="s">
        <v>292</v>
      </c>
    </row>
    <row r="19" spans="1:2" x14ac:dyDescent="0.15">
      <c r="A19" s="22" t="s">
        <v>296</v>
      </c>
      <c r="B19" s="22" t="s">
        <v>295</v>
      </c>
    </row>
    <row r="20" spans="1:2" x14ac:dyDescent="0.15">
      <c r="A20" s="22" t="s">
        <v>299</v>
      </c>
      <c r="B20" s="22" t="s">
        <v>298</v>
      </c>
    </row>
    <row r="21" spans="1:2" x14ac:dyDescent="0.15">
      <c r="A21" s="22" t="s">
        <v>567</v>
      </c>
      <c r="B21" s="22" t="s">
        <v>301</v>
      </c>
    </row>
    <row r="22" spans="1:2" x14ac:dyDescent="0.15">
      <c r="A22" s="22" t="s">
        <v>308</v>
      </c>
      <c r="B22" s="22" t="s">
        <v>307</v>
      </c>
    </row>
    <row r="23" spans="1:2" x14ac:dyDescent="0.15">
      <c r="A23" s="22" t="s">
        <v>311</v>
      </c>
      <c r="B23" s="22" t="s">
        <v>310</v>
      </c>
    </row>
    <row r="24" spans="1:2" x14ac:dyDescent="0.15">
      <c r="A24" s="22" t="s">
        <v>314</v>
      </c>
      <c r="B24" s="22" t="s">
        <v>313</v>
      </c>
    </row>
    <row r="25" spans="1:2" x14ac:dyDescent="0.15">
      <c r="A25" s="22" t="s">
        <v>317</v>
      </c>
      <c r="B25" s="22" t="s">
        <v>316</v>
      </c>
    </row>
    <row r="26" spans="1:2" x14ac:dyDescent="0.15">
      <c r="A26" s="22" t="s">
        <v>320</v>
      </c>
      <c r="B26" s="22" t="s">
        <v>319</v>
      </c>
    </row>
    <row r="27" spans="1:2" x14ac:dyDescent="0.15">
      <c r="A27" s="22" t="s">
        <v>323</v>
      </c>
      <c r="B27" s="22" t="s">
        <v>322</v>
      </c>
    </row>
    <row r="28" spans="1:2" x14ac:dyDescent="0.15">
      <c r="A28" s="22" t="s">
        <v>566</v>
      </c>
      <c r="B28" s="22" t="s">
        <v>325</v>
      </c>
    </row>
    <row r="29" spans="1:2" x14ac:dyDescent="0.15">
      <c r="A29" s="22" t="s">
        <v>329</v>
      </c>
      <c r="B29" s="22" t="s">
        <v>328</v>
      </c>
    </row>
    <row r="30" spans="1:2" x14ac:dyDescent="0.15">
      <c r="A30" s="22" t="s">
        <v>565</v>
      </c>
      <c r="B30" s="22" t="s">
        <v>331</v>
      </c>
    </row>
    <row r="31" spans="1:2" x14ac:dyDescent="0.15">
      <c r="A31" s="22" t="s">
        <v>564</v>
      </c>
      <c r="B31" s="22" t="s">
        <v>334</v>
      </c>
    </row>
    <row r="32" spans="1:2" x14ac:dyDescent="0.15">
      <c r="A32" s="22" t="s">
        <v>338</v>
      </c>
      <c r="B32" s="22" t="s">
        <v>337</v>
      </c>
    </row>
    <row r="33" spans="1:2" x14ac:dyDescent="0.15">
      <c r="A33" s="22" t="s">
        <v>341</v>
      </c>
      <c r="B33" s="22" t="s">
        <v>340</v>
      </c>
    </row>
    <row r="34" spans="1:2" x14ac:dyDescent="0.15">
      <c r="A34" s="22" t="s">
        <v>344</v>
      </c>
      <c r="B34" s="22" t="s">
        <v>343</v>
      </c>
    </row>
    <row r="35" spans="1:2" x14ac:dyDescent="0.15">
      <c r="A35" s="22" t="s">
        <v>347</v>
      </c>
      <c r="B35" s="22" t="s">
        <v>346</v>
      </c>
    </row>
    <row r="36" spans="1:2" x14ac:dyDescent="0.15">
      <c r="A36" s="22" t="s">
        <v>350</v>
      </c>
      <c r="B36" s="22" t="s">
        <v>349</v>
      </c>
    </row>
    <row r="37" spans="1:2" x14ac:dyDescent="0.15">
      <c r="A37" s="22" t="s">
        <v>563</v>
      </c>
      <c r="B37" s="22" t="s">
        <v>352</v>
      </c>
    </row>
    <row r="38" spans="1:2" x14ac:dyDescent="0.15">
      <c r="A38" s="22" t="s">
        <v>562</v>
      </c>
      <c r="B38" s="22" t="s">
        <v>355</v>
      </c>
    </row>
    <row r="39" spans="1:2" x14ac:dyDescent="0.15">
      <c r="A39" s="22" t="s">
        <v>359</v>
      </c>
      <c r="B39" s="22" t="s">
        <v>358</v>
      </c>
    </row>
    <row r="40" spans="1:2" x14ac:dyDescent="0.15">
      <c r="A40" s="22" t="s">
        <v>362</v>
      </c>
      <c r="B40" s="22" t="s">
        <v>361</v>
      </c>
    </row>
    <row r="41" spans="1:2" x14ac:dyDescent="0.15">
      <c r="A41" s="22" t="s">
        <v>365</v>
      </c>
      <c r="B41" s="22" t="s">
        <v>364</v>
      </c>
    </row>
    <row r="42" spans="1:2" x14ac:dyDescent="0.15">
      <c r="A42" s="22" t="s">
        <v>368</v>
      </c>
      <c r="B42" s="22" t="s">
        <v>367</v>
      </c>
    </row>
    <row r="43" spans="1:2" x14ac:dyDescent="0.15">
      <c r="A43" s="22" t="s">
        <v>371</v>
      </c>
      <c r="B43" s="22" t="s">
        <v>370</v>
      </c>
    </row>
    <row r="44" spans="1:2" x14ac:dyDescent="0.15">
      <c r="A44" s="22" t="s">
        <v>561</v>
      </c>
      <c r="B44" s="22" t="s">
        <v>373</v>
      </c>
    </row>
    <row r="45" spans="1:2" x14ac:dyDescent="0.15">
      <c r="A45" s="22" t="s">
        <v>560</v>
      </c>
      <c r="B45" s="22" t="s">
        <v>376</v>
      </c>
    </row>
    <row r="46" spans="1:2" x14ac:dyDescent="0.15">
      <c r="A46" s="22" t="s">
        <v>380</v>
      </c>
      <c r="B46" s="22" t="s">
        <v>379</v>
      </c>
    </row>
    <row r="47" spans="1:2" x14ac:dyDescent="0.15">
      <c r="A47" s="22" t="s">
        <v>559</v>
      </c>
      <c r="B47" s="22" t="s">
        <v>382</v>
      </c>
    </row>
    <row r="48" spans="1:2" x14ac:dyDescent="0.15">
      <c r="A48" s="22" t="s">
        <v>558</v>
      </c>
      <c r="B48" s="22" t="s">
        <v>384</v>
      </c>
    </row>
    <row r="49" spans="1:2" x14ac:dyDescent="0.15">
      <c r="A49" s="22" t="s">
        <v>557</v>
      </c>
      <c r="B49" s="22" t="s">
        <v>386</v>
      </c>
    </row>
    <row r="50" spans="1:2" x14ac:dyDescent="0.15">
      <c r="A50" s="22" t="s">
        <v>389</v>
      </c>
      <c r="B50" s="22" t="s">
        <v>388</v>
      </c>
    </row>
    <row r="51" spans="1:2" x14ac:dyDescent="0.15">
      <c r="A51" s="22" t="s">
        <v>391</v>
      </c>
      <c r="B51" s="22" t="s">
        <v>390</v>
      </c>
    </row>
    <row r="52" spans="1:2" x14ac:dyDescent="0.15">
      <c r="A52" s="22" t="s">
        <v>556</v>
      </c>
      <c r="B52" s="22" t="s">
        <v>394</v>
      </c>
    </row>
    <row r="53" spans="1:2" x14ac:dyDescent="0.15">
      <c r="A53" s="22" t="s">
        <v>397</v>
      </c>
      <c r="B53" s="22" t="s">
        <v>396</v>
      </c>
    </row>
    <row r="54" spans="1:2" x14ac:dyDescent="0.15">
      <c r="A54" s="22" t="s">
        <v>399</v>
      </c>
      <c r="B54" s="22" t="s">
        <v>398</v>
      </c>
    </row>
    <row r="55" spans="1:2" x14ac:dyDescent="0.15">
      <c r="A55" s="22" t="s">
        <v>401</v>
      </c>
      <c r="B55" s="22" t="s">
        <v>400</v>
      </c>
    </row>
    <row r="56" spans="1:2" x14ac:dyDescent="0.15">
      <c r="A56" s="22" t="s">
        <v>403</v>
      </c>
      <c r="B56" s="22" t="s">
        <v>402</v>
      </c>
    </row>
    <row r="57" spans="1:2" x14ac:dyDescent="0.15">
      <c r="A57" s="22" t="s">
        <v>405</v>
      </c>
      <c r="B57" s="22" t="s">
        <v>404</v>
      </c>
    </row>
    <row r="58" spans="1:2" x14ac:dyDescent="0.15">
      <c r="A58" s="22" t="s">
        <v>407</v>
      </c>
      <c r="B58" s="22" t="s">
        <v>406</v>
      </c>
    </row>
    <row r="59" spans="1:2" x14ac:dyDescent="0.15">
      <c r="A59" s="22" t="s">
        <v>409</v>
      </c>
      <c r="B59" s="22" t="s">
        <v>408</v>
      </c>
    </row>
    <row r="60" spans="1:2" x14ac:dyDescent="0.15">
      <c r="A60" s="22" t="s">
        <v>411</v>
      </c>
      <c r="B60" s="22" t="s">
        <v>410</v>
      </c>
    </row>
    <row r="61" spans="1:2" x14ac:dyDescent="0.15">
      <c r="A61" s="22" t="s">
        <v>413</v>
      </c>
      <c r="B61" s="22" t="s">
        <v>412</v>
      </c>
    </row>
    <row r="62" spans="1:2" x14ac:dyDescent="0.15">
      <c r="A62" s="22" t="s">
        <v>555</v>
      </c>
      <c r="B62" s="22" t="s">
        <v>414</v>
      </c>
    </row>
    <row r="63" spans="1:2" x14ac:dyDescent="0.15">
      <c r="A63" s="22" t="s">
        <v>417</v>
      </c>
      <c r="B63" s="22" t="s">
        <v>416</v>
      </c>
    </row>
    <row r="64" spans="1:2" x14ac:dyDescent="0.15">
      <c r="A64" s="22" t="s">
        <v>419</v>
      </c>
      <c r="B64" s="22" t="s">
        <v>418</v>
      </c>
    </row>
    <row r="65" spans="1:2" x14ac:dyDescent="0.15">
      <c r="A65" s="22" t="s">
        <v>1</v>
      </c>
      <c r="B65" s="22" t="s">
        <v>420</v>
      </c>
    </row>
  </sheetData>
  <phoneticPr fontId="32"/>
  <hyperlinks>
    <hyperlink ref="C1" location="トップ!A1" display="トップ"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sheetPr>
  <dimension ref="A1:W38"/>
  <sheetViews>
    <sheetView workbookViewId="0">
      <selection activeCell="I1" sqref="I1"/>
    </sheetView>
  </sheetViews>
  <sheetFormatPr defaultColWidth="9" defaultRowHeight="13.5" x14ac:dyDescent="0.15"/>
  <cols>
    <col min="2" max="2" width="9" bestFit="1" customWidth="1"/>
    <col min="3" max="3" width="32.75" bestFit="1" customWidth="1"/>
    <col min="4" max="4" width="13" bestFit="1" customWidth="1"/>
    <col min="5" max="9" width="3.375" bestFit="1" customWidth="1"/>
    <col min="10" max="10" width="4.375" bestFit="1" customWidth="1"/>
    <col min="11" max="11" width="24.125" bestFit="1" customWidth="1"/>
    <col min="12" max="12" width="20.375" bestFit="1" customWidth="1"/>
    <col min="13" max="13" width="36.125" bestFit="1" customWidth="1"/>
    <col min="14" max="14" width="55.25" bestFit="1" customWidth="1"/>
    <col min="15" max="15" width="6.75" bestFit="1" customWidth="1"/>
    <col min="16" max="20" width="3.375" bestFit="1" customWidth="1"/>
    <col min="21" max="21" width="3.625" customWidth="1"/>
  </cols>
  <sheetData>
    <row r="1" spans="1:23" x14ac:dyDescent="0.15">
      <c r="A1" s="16" t="s">
        <v>501</v>
      </c>
      <c r="I1" s="21" t="s">
        <v>554</v>
      </c>
      <c r="K1" t="s">
        <v>553</v>
      </c>
      <c r="L1" t="s">
        <v>552</v>
      </c>
      <c r="Q1" s="3" t="s">
        <v>210</v>
      </c>
      <c r="R1">
        <v>11</v>
      </c>
      <c r="S1" t="s">
        <v>502</v>
      </c>
      <c r="T1" t="s">
        <v>505</v>
      </c>
    </row>
    <row r="2" spans="1:23" x14ac:dyDescent="0.15">
      <c r="B2" t="s">
        <v>551</v>
      </c>
      <c r="C2" t="s">
        <v>550</v>
      </c>
      <c r="D2" t="s">
        <v>201</v>
      </c>
      <c r="E2">
        <v>21</v>
      </c>
      <c r="F2" t="s">
        <v>549</v>
      </c>
      <c r="G2">
        <v>1</v>
      </c>
      <c r="H2">
        <v>1</v>
      </c>
      <c r="I2" s="21" t="s">
        <v>548</v>
      </c>
      <c r="J2">
        <v>100</v>
      </c>
      <c r="K2" t="s">
        <v>547</v>
      </c>
      <c r="L2" t="s">
        <v>546</v>
      </c>
      <c r="M2" s="19" t="s">
        <v>545</v>
      </c>
      <c r="N2" t="s">
        <v>544</v>
      </c>
      <c r="O2" s="20" t="s">
        <v>495</v>
      </c>
      <c r="P2" s="21" t="s">
        <v>543</v>
      </c>
      <c r="Q2" s="3" t="s">
        <v>221</v>
      </c>
      <c r="R2">
        <v>12</v>
      </c>
      <c r="S2" t="s">
        <v>542</v>
      </c>
      <c r="T2" t="s">
        <v>504</v>
      </c>
      <c r="U2" t="s">
        <v>439</v>
      </c>
      <c r="V2" s="332" t="s">
        <v>2891</v>
      </c>
      <c r="W2" s="332" t="s">
        <v>2896</v>
      </c>
    </row>
    <row r="3" spans="1:23" x14ac:dyDescent="0.15">
      <c r="A3" t="s">
        <v>541</v>
      </c>
      <c r="B3" t="s">
        <v>540</v>
      </c>
      <c r="C3" t="s">
        <v>539</v>
      </c>
      <c r="D3" t="s">
        <v>233</v>
      </c>
      <c r="E3">
        <v>22</v>
      </c>
      <c r="F3" t="s">
        <v>538</v>
      </c>
      <c r="G3">
        <v>2</v>
      </c>
      <c r="H3">
        <v>2</v>
      </c>
      <c r="J3">
        <v>125</v>
      </c>
      <c r="K3" t="s">
        <v>537</v>
      </c>
      <c r="L3" t="s">
        <v>536</v>
      </c>
      <c r="M3" s="19" t="s">
        <v>500</v>
      </c>
      <c r="N3" t="s">
        <v>535</v>
      </c>
      <c r="O3" s="20" t="s">
        <v>534</v>
      </c>
      <c r="Q3" s="3" t="s">
        <v>232</v>
      </c>
      <c r="R3">
        <v>13</v>
      </c>
      <c r="T3" t="s">
        <v>503</v>
      </c>
      <c r="V3" s="332" t="s">
        <v>2892</v>
      </c>
      <c r="W3" s="332" t="s">
        <v>2897</v>
      </c>
    </row>
    <row r="4" spans="1:23" x14ac:dyDescent="0.15">
      <c r="A4" t="s">
        <v>533</v>
      </c>
      <c r="C4" t="s">
        <v>532</v>
      </c>
      <c r="D4" t="s">
        <v>211</v>
      </c>
      <c r="E4">
        <v>23</v>
      </c>
      <c r="G4">
        <v>3</v>
      </c>
      <c r="H4">
        <v>3</v>
      </c>
      <c r="J4">
        <v>165</v>
      </c>
      <c r="K4" t="s">
        <v>531</v>
      </c>
      <c r="L4" t="s">
        <v>530</v>
      </c>
      <c r="M4" s="19" t="s">
        <v>499</v>
      </c>
      <c r="N4" t="s">
        <v>529</v>
      </c>
      <c r="Q4" s="3" t="s">
        <v>241</v>
      </c>
      <c r="R4">
        <v>14</v>
      </c>
      <c r="V4" s="332" t="s">
        <v>2893</v>
      </c>
      <c r="W4" s="332" t="s">
        <v>2898</v>
      </c>
    </row>
    <row r="5" spans="1:23" x14ac:dyDescent="0.15">
      <c r="A5" t="s">
        <v>44</v>
      </c>
      <c r="C5" t="s">
        <v>528</v>
      </c>
      <c r="E5">
        <v>24</v>
      </c>
      <c r="G5">
        <v>4</v>
      </c>
      <c r="H5">
        <v>4</v>
      </c>
      <c r="L5" t="s">
        <v>527</v>
      </c>
      <c r="M5" s="19" t="s">
        <v>498</v>
      </c>
      <c r="N5" t="s">
        <v>526</v>
      </c>
      <c r="Q5" s="3" t="s">
        <v>251</v>
      </c>
      <c r="R5">
        <v>15</v>
      </c>
      <c r="V5" s="332" t="s">
        <v>2894</v>
      </c>
      <c r="W5" s="332" t="s">
        <v>2902</v>
      </c>
    </row>
    <row r="6" spans="1:23" x14ac:dyDescent="0.15">
      <c r="C6" t="s">
        <v>525</v>
      </c>
      <c r="E6">
        <v>25</v>
      </c>
      <c r="G6">
        <v>5</v>
      </c>
      <c r="H6">
        <v>5</v>
      </c>
      <c r="L6" t="s">
        <v>524</v>
      </c>
      <c r="M6" s="19" t="s">
        <v>523</v>
      </c>
      <c r="N6" t="s">
        <v>522</v>
      </c>
      <c r="Q6" s="3"/>
      <c r="R6">
        <v>16</v>
      </c>
      <c r="V6" s="332" t="s">
        <v>2895</v>
      </c>
      <c r="W6" s="332" t="s">
        <v>2899</v>
      </c>
    </row>
    <row r="7" spans="1:23" x14ac:dyDescent="0.15">
      <c r="E7">
        <v>26</v>
      </c>
      <c r="G7">
        <v>6</v>
      </c>
      <c r="H7">
        <v>6</v>
      </c>
      <c r="L7" t="s">
        <v>521</v>
      </c>
      <c r="M7" s="19" t="s">
        <v>497</v>
      </c>
      <c r="N7" t="s">
        <v>520</v>
      </c>
      <c r="R7">
        <v>17</v>
      </c>
      <c r="W7" s="332" t="s">
        <v>2900</v>
      </c>
    </row>
    <row r="8" spans="1:23" x14ac:dyDescent="0.15">
      <c r="E8">
        <v>27</v>
      </c>
      <c r="G8">
        <v>7</v>
      </c>
      <c r="H8">
        <v>7</v>
      </c>
      <c r="L8" t="s">
        <v>519</v>
      </c>
      <c r="M8" s="19" t="s">
        <v>496</v>
      </c>
      <c r="N8" t="s">
        <v>518</v>
      </c>
      <c r="R8">
        <v>18</v>
      </c>
      <c r="W8" s="332" t="s">
        <v>2901</v>
      </c>
    </row>
    <row r="9" spans="1:23" x14ac:dyDescent="0.15">
      <c r="E9">
        <v>28</v>
      </c>
      <c r="G9">
        <v>8</v>
      </c>
      <c r="H9">
        <v>8</v>
      </c>
      <c r="L9" t="s">
        <v>517</v>
      </c>
      <c r="M9" s="19" t="s">
        <v>516</v>
      </c>
      <c r="N9" t="s">
        <v>515</v>
      </c>
      <c r="R9">
        <v>19</v>
      </c>
      <c r="W9" t="s">
        <v>2903</v>
      </c>
    </row>
    <row r="10" spans="1:23" x14ac:dyDescent="0.15">
      <c r="E10">
        <v>29</v>
      </c>
      <c r="G10">
        <v>9</v>
      </c>
      <c r="H10">
        <v>9</v>
      </c>
      <c r="L10" t="s">
        <v>514</v>
      </c>
      <c r="M10" s="19" t="s">
        <v>494</v>
      </c>
      <c r="N10" t="s">
        <v>513</v>
      </c>
      <c r="R10">
        <v>20</v>
      </c>
      <c r="W10" t="s">
        <v>2904</v>
      </c>
    </row>
    <row r="11" spans="1:23" x14ac:dyDescent="0.15">
      <c r="E11">
        <v>30</v>
      </c>
      <c r="G11">
        <v>10</v>
      </c>
      <c r="H11">
        <v>10</v>
      </c>
      <c r="L11" t="s">
        <v>512</v>
      </c>
      <c r="M11" s="19" t="s">
        <v>511</v>
      </c>
      <c r="N11" t="s">
        <v>510</v>
      </c>
      <c r="R11">
        <v>21</v>
      </c>
      <c r="W11" t="s">
        <v>2905</v>
      </c>
    </row>
    <row r="12" spans="1:23" x14ac:dyDescent="0.15">
      <c r="E12">
        <v>31</v>
      </c>
      <c r="G12">
        <v>11</v>
      </c>
      <c r="H12">
        <v>11</v>
      </c>
      <c r="L12" t="s">
        <v>509</v>
      </c>
      <c r="M12" s="19" t="s">
        <v>508</v>
      </c>
      <c r="N12" t="s">
        <v>507</v>
      </c>
      <c r="R12">
        <v>22</v>
      </c>
      <c r="W12" t="s">
        <v>2906</v>
      </c>
    </row>
    <row r="13" spans="1:23" x14ac:dyDescent="0.15">
      <c r="E13">
        <v>1</v>
      </c>
      <c r="G13">
        <v>12</v>
      </c>
      <c r="H13">
        <v>12</v>
      </c>
      <c r="L13" t="s">
        <v>190</v>
      </c>
      <c r="M13" s="19" t="s">
        <v>493</v>
      </c>
      <c r="R13">
        <v>23</v>
      </c>
      <c r="W13" t="s">
        <v>2907</v>
      </c>
    </row>
    <row r="14" spans="1:23" x14ac:dyDescent="0.15">
      <c r="E14">
        <v>2</v>
      </c>
      <c r="G14">
        <v>13</v>
      </c>
      <c r="M14" s="19" t="s">
        <v>506</v>
      </c>
      <c r="R14">
        <v>24</v>
      </c>
      <c r="W14" t="s">
        <v>2908</v>
      </c>
    </row>
    <row r="15" spans="1:23" x14ac:dyDescent="0.15">
      <c r="E15">
        <v>3</v>
      </c>
      <c r="G15">
        <v>14</v>
      </c>
      <c r="M15" s="19" t="s">
        <v>492</v>
      </c>
      <c r="R15">
        <v>25</v>
      </c>
      <c r="W15" t="s">
        <v>2909</v>
      </c>
    </row>
    <row r="16" spans="1:23" x14ac:dyDescent="0.15">
      <c r="E16">
        <v>4</v>
      </c>
      <c r="G16">
        <v>15</v>
      </c>
      <c r="M16" s="19" t="s">
        <v>491</v>
      </c>
      <c r="R16">
        <v>26</v>
      </c>
      <c r="W16" t="s">
        <v>2910</v>
      </c>
    </row>
    <row r="17" spans="5:23" x14ac:dyDescent="0.15">
      <c r="E17">
        <v>5</v>
      </c>
      <c r="G17">
        <v>16</v>
      </c>
      <c r="M17" s="19" t="s">
        <v>490</v>
      </c>
      <c r="R17">
        <v>27</v>
      </c>
      <c r="W17" t="s">
        <v>2911</v>
      </c>
    </row>
    <row r="18" spans="5:23" x14ac:dyDescent="0.15">
      <c r="E18">
        <v>6</v>
      </c>
      <c r="G18">
        <v>17</v>
      </c>
      <c r="M18" s="19" t="s">
        <v>489</v>
      </c>
      <c r="R18">
        <v>28</v>
      </c>
      <c r="W18" t="s">
        <v>2912</v>
      </c>
    </row>
    <row r="19" spans="5:23" x14ac:dyDescent="0.15">
      <c r="E19">
        <v>7</v>
      </c>
      <c r="G19">
        <v>18</v>
      </c>
      <c r="M19" s="19" t="s">
        <v>488</v>
      </c>
      <c r="R19">
        <v>29</v>
      </c>
      <c r="W19" t="s">
        <v>2913</v>
      </c>
    </row>
    <row r="20" spans="5:23" x14ac:dyDescent="0.15">
      <c r="E20">
        <v>8</v>
      </c>
      <c r="G20">
        <v>19</v>
      </c>
      <c r="M20" s="19" t="s">
        <v>487</v>
      </c>
      <c r="R20">
        <v>30</v>
      </c>
      <c r="W20" t="s">
        <v>2914</v>
      </c>
    </row>
    <row r="21" spans="5:23" x14ac:dyDescent="0.15">
      <c r="E21">
        <v>9</v>
      </c>
      <c r="G21">
        <v>20</v>
      </c>
      <c r="R21">
        <v>31</v>
      </c>
      <c r="W21" t="s">
        <v>2915</v>
      </c>
    </row>
    <row r="22" spans="5:23" x14ac:dyDescent="0.15">
      <c r="E22">
        <v>10</v>
      </c>
      <c r="G22">
        <v>21</v>
      </c>
      <c r="R22">
        <v>32</v>
      </c>
      <c r="W22" t="s">
        <v>2916</v>
      </c>
    </row>
    <row r="23" spans="5:23" x14ac:dyDescent="0.15">
      <c r="G23">
        <v>22</v>
      </c>
      <c r="R23">
        <v>33</v>
      </c>
      <c r="W23" t="s">
        <v>2917</v>
      </c>
    </row>
    <row r="24" spans="5:23" x14ac:dyDescent="0.15">
      <c r="G24">
        <v>23</v>
      </c>
      <c r="R24">
        <v>34</v>
      </c>
      <c r="W24" t="s">
        <v>2918</v>
      </c>
    </row>
    <row r="25" spans="5:23" x14ac:dyDescent="0.15">
      <c r="G25">
        <v>24</v>
      </c>
      <c r="R25">
        <v>35</v>
      </c>
      <c r="W25" t="s">
        <v>2919</v>
      </c>
    </row>
    <row r="26" spans="5:23" x14ac:dyDescent="0.15">
      <c r="G26">
        <v>25</v>
      </c>
      <c r="R26">
        <v>36</v>
      </c>
      <c r="W26" t="s">
        <v>2920</v>
      </c>
    </row>
    <row r="27" spans="5:23" x14ac:dyDescent="0.15">
      <c r="G27">
        <v>26</v>
      </c>
      <c r="R27">
        <v>37</v>
      </c>
      <c r="W27" t="s">
        <v>2921</v>
      </c>
    </row>
    <row r="28" spans="5:23" x14ac:dyDescent="0.15">
      <c r="G28">
        <v>27</v>
      </c>
      <c r="R28">
        <v>38</v>
      </c>
      <c r="W28" t="s">
        <v>2922</v>
      </c>
    </row>
    <row r="29" spans="5:23" x14ac:dyDescent="0.15">
      <c r="G29">
        <v>28</v>
      </c>
      <c r="R29">
        <v>39</v>
      </c>
      <c r="W29" t="s">
        <v>2923</v>
      </c>
    </row>
    <row r="30" spans="5:23" x14ac:dyDescent="0.15">
      <c r="G30">
        <v>29</v>
      </c>
      <c r="R30">
        <v>40</v>
      </c>
      <c r="W30" t="s">
        <v>2924</v>
      </c>
    </row>
    <row r="31" spans="5:23" x14ac:dyDescent="0.15">
      <c r="G31">
        <v>30</v>
      </c>
      <c r="R31">
        <v>41</v>
      </c>
      <c r="W31" t="s">
        <v>2925</v>
      </c>
    </row>
    <row r="32" spans="5:23" x14ac:dyDescent="0.15">
      <c r="G32">
        <v>31</v>
      </c>
      <c r="R32">
        <v>42</v>
      </c>
      <c r="W32" t="s">
        <v>2926</v>
      </c>
    </row>
    <row r="33" spans="18:23" x14ac:dyDescent="0.15">
      <c r="R33">
        <v>43</v>
      </c>
      <c r="W33" t="s">
        <v>2927</v>
      </c>
    </row>
    <row r="34" spans="18:23" x14ac:dyDescent="0.15">
      <c r="R34">
        <v>44</v>
      </c>
      <c r="W34" t="s">
        <v>2928</v>
      </c>
    </row>
    <row r="35" spans="18:23" x14ac:dyDescent="0.15">
      <c r="R35">
        <v>45</v>
      </c>
      <c r="W35" t="s">
        <v>2929</v>
      </c>
    </row>
    <row r="36" spans="18:23" x14ac:dyDescent="0.15">
      <c r="R36">
        <v>46</v>
      </c>
      <c r="W36" t="s">
        <v>2930</v>
      </c>
    </row>
    <row r="37" spans="18:23" x14ac:dyDescent="0.15">
      <c r="R37">
        <v>99</v>
      </c>
      <c r="W37" t="s">
        <v>2931</v>
      </c>
    </row>
    <row r="38" spans="18:23" x14ac:dyDescent="0.15">
      <c r="W38" t="s">
        <v>2932</v>
      </c>
    </row>
  </sheetData>
  <phoneticPr fontId="32"/>
  <hyperlinks>
    <hyperlink ref="A1" location="トップ!A1" display="トップ"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2114</vt:i4>
      </vt:variant>
    </vt:vector>
  </HeadingPairs>
  <TitlesOfParts>
    <vt:vector size="2115" baseType="lpstr">
      <vt:lpstr>宣言書</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cst__output_sheetname</vt:lpstr>
      <vt:lpstr>cst__output_title</vt:lpstr>
      <vt:lpstr>cst_ISSUE_DATE_select</vt:lpstr>
      <vt:lpstr>cst_ISSUE_KOUFU_NAME_select</vt:lpstr>
      <vt:lpstr>cst_ISSUE_NO_select</vt:lpstr>
      <vt:lpstr>cst_koujikikan_month</vt:lpstr>
      <vt:lpstr>cst_koujikikan_year</vt:lpstr>
      <vt:lpstr>cst_lastalter_shinsei_build_YOUTO</vt:lpstr>
      <vt:lpstr>cst_Pre_Corp__TODAY</vt:lpstr>
      <vt:lpstr>cst_Pre_Corp2__TODAY</vt:lpstr>
      <vt:lpstr>cst_Pre_Corptype__TODAY</vt:lpstr>
      <vt:lpstr>cst_Pre_Daihyou__TODAY</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cst_wshyouka_BUILD__address</vt:lpstr>
      <vt:lpstr>cst_wshyouka_BUILD_NAME</vt:lpstr>
      <vt:lpstr>cst_wshyouka_dairi1__address</vt:lpstr>
      <vt:lpstr>cst_wshyouka_dairi1_JIMU_NAME</vt:lpstr>
      <vt:lpstr>cst_wshyouka_dairi1_JIMU_NAME_KANA</vt:lpstr>
      <vt:lpstr>cst_wshyouka_dairi1_NAME</vt:lpstr>
      <vt:lpstr>cst_wshyouka_dairi1_NAME_KANA</vt:lpstr>
      <vt:lpstr>cst_wshyouka_dairi1_POST</vt:lpstr>
      <vt:lpstr>cst_wshyouka_dairi1_POST_KANA</vt:lpstr>
      <vt:lpstr>cst_wshyouka_dairi1_TEL</vt:lpstr>
      <vt:lpstr>cst_wshyouka_dairi1_ZIP</vt:lpstr>
      <vt:lpstr>cst_wshyouka_owner1__address</vt:lpstr>
      <vt:lpstr>cst_wshyouka_owner1__space_KANA</vt:lpstr>
      <vt:lpstr>cst_wshyouka_owner1__space2</vt:lpstr>
      <vt:lpstr>cst_wshyouka_owner1__space3</vt:lpstr>
      <vt:lpstr>cst_wshyouka_owner1_JIMU_NAME</vt:lpstr>
      <vt:lpstr>cst_wshyouka_owner1_JIMU_NAME_KANA</vt:lpstr>
      <vt:lpstr>cst_wshyouka_owner1_NAME</vt:lpstr>
      <vt:lpstr>cst_wshyouka_owner1_NAME_KANA</vt:lpstr>
      <vt:lpstr>cst_wshyouka_owner1_POST</vt:lpstr>
      <vt:lpstr>cst_wshyouka_owner1_POST_KANA</vt:lpstr>
      <vt:lpstr>cst_wshyouka_owner1_TEL</vt:lpstr>
      <vt:lpstr>cst_wshyouka_owner1_ZIP</vt:lpstr>
      <vt:lpstr>cst_wshyouka_owner2__address</vt:lpstr>
      <vt:lpstr>cst_wshyouka_owner2__space_KANA</vt:lpstr>
      <vt:lpstr>cst_wshyouka_owner2__space2</vt:lpstr>
      <vt:lpstr>cst_wshyouka_owner2__space3</vt:lpstr>
      <vt:lpstr>cst_wshyouka_owner2_JIMU_NAME</vt:lpstr>
      <vt:lpstr>cst_wshyouka_owner2_JIMU_NAME_KANA</vt:lpstr>
      <vt:lpstr>cst_wshyouka_owner2_NAME</vt:lpstr>
      <vt:lpstr>cst_wshyouka_owner2_NAME_KANA</vt:lpstr>
      <vt:lpstr>cst_wshyouka_owner2_POST</vt:lpstr>
      <vt:lpstr>cst_wshyouka_owner2_POST_KANA</vt:lpstr>
      <vt:lpstr>cst_wshyouka_owner2_TEL</vt:lpstr>
      <vt:lpstr>cst_wshyouka_owner2_ZIP</vt:lpstr>
      <vt:lpstr>cst_wshyouka_SHINSEI_DATE</vt:lpstr>
      <vt:lpstr>cst_wsjob_JOB_KIND</vt:lpstr>
      <vt:lpstr>cst_wsjob_JOB_KIND_final_box</vt:lpstr>
      <vt:lpstr>cst_wsjob_JOB_KIND_inter_box</vt:lpstr>
      <vt:lpstr>cst_wsjob_JOB_KIND_kakunin_box</vt:lpstr>
      <vt:lpstr>cst_wsjob_JOB_SET_KIND</vt:lpstr>
      <vt:lpstr>cst_wsjob_KENTIKUBUTU_box</vt:lpstr>
      <vt:lpstr>cst_wsjob_KOUSAKUBUTU_box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cst_wskakunin_dairi1__sikaku_JIMU_NAME</vt:lpstr>
      <vt:lpstr>cst_wskakunin_dairi1__sikaku_NAME</vt:lpstr>
      <vt:lpstr>cst_wskakunin_dairi1__space</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cst_wskakunin_KANRI_NAME</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cst_wskakunin_KENTIKU_MENSEKI_ZENTAI_IGAI</vt:lpstr>
      <vt:lpstr>cst_wskakunin_KENTIKU_MENSEKI_ZENTAI_SHINSEI</vt:lpstr>
      <vt:lpstr>cst_wskakunin_KENTIKU_MENSEKI_ZENTAI_TOTAL</vt:lpstr>
      <vt:lpstr>cst_wskakunin_KENTIKU_NINSYO_NO</vt:lpstr>
      <vt:lpstr>cst_wskakunin_KIKAN_NAME</vt:lpstr>
      <vt:lpstr>cst_wskakunin_KITEI_CHOUSA_FLAG</vt:lpstr>
      <vt:lpstr>cst_wskakunin_KITEI_CHOUSA_FLAG_box_off</vt:lpstr>
      <vt:lpstr>cst_wskakunin_KITEI_CHOUSA_FLAG_box_on</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cst_wskakunin_NOBE_MENSEKI_FUSANNYU_IGAI</vt:lpstr>
      <vt:lpstr>cst_wskakunin_NOBE_MENSEKI_FUSANNYU_SHINSEI</vt:lpstr>
      <vt:lpstr>cst_wskakunin_NOBE_MENSEKI_FUSANNYU_TOTAL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cst_wskakunin_NOBE_MENSEKI_KIKAI_IGAI</vt:lpstr>
      <vt:lpstr>cst_wskakunin_NOBE_MENSEKI_KIKAI_SHINSEI</vt:lpstr>
      <vt:lpstr>cst_wskakunin_NOBE_MENSEKI_KIKAI_TOTAL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cst_wskakunin_owner1_ZIP2</vt:lpstr>
      <vt:lpstr>cst_wskakunin_owner2__address</vt:lpstr>
      <vt:lpstr>cst_wskakunin_owner2__space</vt:lpstr>
      <vt:lpstr>cst_wskakunin_owner2__space_KANA</vt:lpstr>
      <vt:lpstr>cst_wskakunin_owner2__space_KANA2</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cst_wskakunin_p4_1_YUKA_MENSEKI_SHINSEI</vt:lpstr>
      <vt:lpstr>cst_wskakunin_p4_2_KAISU_TIKAI</vt:lpstr>
      <vt:lpstr>cst_wskakunin_p4_2_KAISU_TIKAI_NOZOKU</vt:lpstr>
      <vt:lpstr>cst_wskakunin_p4_2_YUKA_MENSEKI_SHINSEI</vt:lpstr>
      <vt:lpstr>cst_wskakunin_p4_3_KAISU_TIKAI</vt:lpstr>
      <vt:lpstr>cst_wskakunin_p4_3_KAISU_TIKAI_NOZOKU</vt:lpstr>
      <vt:lpstr>cst_wskakunin_p4_3_YUKA_MENSEKI_SHINSEI</vt:lpstr>
      <vt:lpstr>cst_wskakunin_PAGE1_ALTERATION_NOTE</vt:lpstr>
      <vt:lpstr>cst_wskakunin_SEKKEI_NAME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cst_wskakunin_SHINSEI_DATE__day</vt:lpstr>
      <vt:lpstr>cst_wskakunin_SHINSEI_DATE__e</vt:lpstr>
      <vt:lpstr>cst_wskakunin_SHINSEI_DATE__month</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cst_wskakunin_YOUTO_TIIKI_A</vt:lpstr>
      <vt:lpstr>cst_wskakunin_YOUTO_TIIKI_B</vt:lpstr>
      <vt:lpstr>cst_wskakunin_YOUTO_TIIKI_C</vt:lpstr>
      <vt:lpstr>cst_wskakunin_YOUTO_TIIKI_D</vt:lpstr>
      <vt:lpstr>lastalter_shinsei_build_YOUTO</vt:lpstr>
      <vt:lpstr>委任状_性能評価!Print_Area</vt:lpstr>
      <vt:lpstr>概要三面!Print_Area</vt:lpstr>
      <vt:lpstr>概要二面!Print_Area</vt:lpstr>
      <vt:lpstr>建築概要一面!Print_Area</vt:lpstr>
      <vt:lpstr>建築工事届!Print_Area</vt:lpstr>
      <vt:lpstr>建築工事届_2410!Print_Area</vt:lpstr>
      <vt:lpstr>建築主住所等変更届!Print_Area</vt:lpstr>
      <vt:lpstr>検査申請書_第四面!Print_Area</vt:lpstr>
      <vt:lpstr>工事監理者報告書!Print_Area</vt:lpstr>
      <vt:lpstr>工事施工者報告書!Print_Area</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showsheetflag_dAName</vt:lpstr>
      <vt:lpstr>showsheetflag_DATA</vt:lpstr>
      <vt:lpstr>showsheetflag_DATA_性能評価</vt:lpstr>
      <vt:lpstr>showsheetflag_dSHEET</vt:lpstr>
      <vt:lpstr>showsheetflag_dSTART</vt:lpstr>
      <vt:lpstr>showsheetflag_NoObject</vt:lpstr>
      <vt:lpstr>showsheetflag_リスト</vt:lpstr>
      <vt:lpstr>showsheetflag_委任状</vt:lpstr>
      <vt:lpstr>showsheetflag_委任状_性能評価</vt:lpstr>
      <vt:lpstr>showsheetflag_概要三面</vt:lpstr>
      <vt:lpstr>showsheetflag_概要二面</vt:lpstr>
      <vt:lpstr>showsheetflag_建築概要一面</vt:lpstr>
      <vt:lpstr>showsheetflag_建築工事届</vt:lpstr>
      <vt:lpstr>showsheetflag_建築工事届_2410</vt:lpstr>
      <vt:lpstr>showsheetflag_建築主住所等変更届</vt:lpstr>
      <vt:lpstr>showsheetflag_検査申請書_第四面</vt:lpstr>
      <vt:lpstr>showsheetflag_工事監理者報告書</vt:lpstr>
      <vt:lpstr>showsheetflag_工事施工者報告書</vt:lpstr>
      <vt:lpstr>showsheetflag_項目リスト</vt:lpstr>
      <vt:lpstr>showsheetflag_取下げ届出書</vt:lpstr>
      <vt:lpstr>showsheetflag_浄化槽変更届</vt:lpstr>
      <vt:lpstr>showsheetflag_説明</vt:lpstr>
      <vt:lpstr>showsheetflag_用途の区分</vt:lpstr>
      <vt:lpstr>wshyouka_BUILD__address</vt:lpstr>
      <vt:lpstr>wshyouka_BUILD_NAME</vt:lpstr>
      <vt:lpstr>wshyouka_dairi1__address</vt:lpstr>
      <vt:lpstr>wshyouka_dairi1_JIMU_NAME</vt:lpstr>
      <vt:lpstr>wshyouka_dairi1_JIMU_NAME_KANA</vt:lpstr>
      <vt:lpstr>wshyouka_dairi1_NAME</vt:lpstr>
      <vt:lpstr>wshyouka_dairi1_NAME_KANA</vt:lpstr>
      <vt:lpstr>wshyouka_dairi1_POST</vt:lpstr>
      <vt:lpstr>wshyouka_dairi1_POST_KANA</vt:lpstr>
      <vt:lpstr>wshyouka_dairi1_TEL</vt:lpstr>
      <vt:lpstr>wshyouka_dairi1_ZIP</vt:lpstr>
      <vt:lpstr>wshyouka_owner1__address</vt:lpstr>
      <vt:lpstr>wshyouka_owner1_JIMU_NAME</vt:lpstr>
      <vt:lpstr>wshyouka_owner1_JIMU_NAME_KANA</vt:lpstr>
      <vt:lpstr>wshyouka_owner1_NAME</vt:lpstr>
      <vt:lpstr>wshyouka_owner1_NAME_KANA</vt:lpstr>
      <vt:lpstr>wshyouka_owner1_POST</vt:lpstr>
      <vt:lpstr>wshyouka_owner1_POST_KANA</vt:lpstr>
      <vt:lpstr>wshyouka_owner1_TEL</vt:lpstr>
      <vt:lpstr>wshyouka_owner1_ZIP</vt:lpstr>
      <vt:lpstr>wshyouka_owner2__address</vt:lpstr>
      <vt:lpstr>wshyouka_owner2_JIMU_NAME</vt:lpstr>
      <vt:lpstr>wshyouka_owner2_JIMU_NAME_KANA</vt:lpstr>
      <vt:lpstr>wshyouka_owner2_NAME</vt:lpstr>
      <vt:lpstr>wshyouka_owner2_NAME_KANA</vt:lpstr>
      <vt:lpstr>wshyouka_owner2_POST</vt:lpstr>
      <vt:lpstr>wshyouka_owner2_POST_KANA</vt:lpstr>
      <vt:lpstr>wshyouka_owner2_TEL</vt:lpstr>
      <vt:lpstr>wshyouka_owner2_ZIP</vt:lpstr>
      <vt:lpstr>wshyouka_SHINSEI_DATE</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wskakunin_KANRI_NAME</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wskakunin_KENTIKU_MENSEKI_ZENTAI_IGAI</vt:lpstr>
      <vt:lpstr>wskakunin_KENTIKU_MENSEKI_ZENTAI_SHINSEI</vt:lpstr>
      <vt:lpstr>wskakunin_KENTIKU_MENSEKI_ZENTAI_TOTAL</vt:lpstr>
      <vt:lpstr>wskakunin_KENTIKU_NINSYO_NO</vt:lpstr>
      <vt:lpstr>wskakunin_KIKAN_NAME</vt:lpstr>
      <vt:lpstr>wskakunin_KITEI_CHOUSA_FLAG</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wskakunin_NOBE_MENSEKI_FUSANNYU_IGAI</vt:lpstr>
      <vt:lpstr>wskakunin_NOBE_MENSEKI_FUSANNYU_SHINSEI</vt:lpstr>
      <vt:lpstr>wskakunin_NOBE_MENSEKI_FUSANNYU_TOTAL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wskakunin_NOBE_MENSEKI_KIKAI_IGAI</vt:lpstr>
      <vt:lpstr>wskakunin_NOBE_MENSEKI_KIKAI_SHINSEI</vt:lpstr>
      <vt:lpstr>wskakunin_NOBE_MENSEKI_KIKAI_TOTAL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wskakunin_p4_1_YUKA_MENSEKI_SHINSEI</vt:lpstr>
      <vt:lpstr>wskakunin_p4_2_KAISU_TIKAI</vt:lpstr>
      <vt:lpstr>wskakunin_p4_2_KAISU_TIKAI_NOZOKU</vt:lpstr>
      <vt:lpstr>wskakunin_p4_2_YUKA_MENSEKI_SHINSEI</vt:lpstr>
      <vt:lpstr>wskakunin_p4_3_KAISU_TIKAI</vt:lpstr>
      <vt:lpstr>wskakunin_p4_3_KAISU_TIKAI_NOZOKU</vt:lpstr>
      <vt:lpstr>wskakunin_p4_3_YUKA_MENSEKI_SHINSEI</vt:lpstr>
      <vt:lpstr>wskakunin_PAGE1_ALTERATION_NOTE</vt:lpstr>
      <vt:lpstr>wskakunin_SEKKEI_NAME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wskakunin_SHINSEI_DATE__day</vt:lpstr>
      <vt:lpstr>wskakunin_SHINSEI_DATE__e</vt:lpstr>
      <vt:lpstr>wskakunin_SHINSEI_DATE__month</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DATA!Z_D83ABAE7_1F4C_4C77_8E04_C5172671ED17_.wvu.Rows</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工事届用構造コード_2410</vt:lpstr>
      <vt:lpstr>工事届用構造区分_2410</vt:lpstr>
      <vt:lpstr>工事届用主要用途</vt:lpstr>
      <vt:lpstr>工事届用主要用途_2410</vt:lpstr>
      <vt:lpstr>工事届用主要用途2</vt:lpstr>
      <vt:lpstr>工事届用主要用途区分</vt:lpstr>
      <vt:lpstr>工事届用主要用途区分_2410</vt:lpstr>
      <vt:lpstr>工事届用用途コード_2410</vt:lpstr>
      <vt:lpstr>工事届用用途区分_2410</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user01</cp:lastModifiedBy>
  <cp:lastPrinted>2025-01-22T08:32:14Z</cp:lastPrinted>
  <dcterms:created xsi:type="dcterms:W3CDTF">2016-04-05T10:41:15Z</dcterms:created>
  <dcterms:modified xsi:type="dcterms:W3CDTF">2025-04-15T07:51:00Z</dcterms:modified>
</cp:coreProperties>
</file>